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rinterSettings/printerSettings8.bin" ContentType="application/vnd.openxmlformats-officedocument.spreadsheetml.printerSettings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75" yWindow="-285" windowWidth="15480" windowHeight="9135"/>
  </bookViews>
  <sheets>
    <sheet name="Total" sheetId="1" r:id="rId1"/>
    <sheet name="Fish" sheetId="2" r:id="rId2"/>
    <sheet name="Water Quality" sheetId="6" r:id="rId3"/>
    <sheet name="Mammals" sheetId="5" r:id="rId4"/>
    <sheet name="Aquatic Inverts" sheetId="8" r:id="rId5"/>
    <sheet name="Fungi &amp; Lichen" sheetId="7" r:id="rId6"/>
    <sheet name="Plants" sheetId="4" r:id="rId7"/>
    <sheet name="Reptiles and Amphibians" sheetId="10" r:id="rId8"/>
    <sheet name="Birds" sheetId="9" r:id="rId9"/>
    <sheet name="Insects" sheetId="3" r:id="rId10"/>
    <sheet name="DV-IDENTITY-0" sheetId="11" state="veryHidden" r:id="rId11"/>
  </sheets>
  <calcPr calcId="125725"/>
</workbook>
</file>

<file path=xl/calcChain.xml><?xml version="1.0" encoding="utf-8"?>
<calcChain xmlns="http://schemas.openxmlformats.org/spreadsheetml/2006/main">
  <c r="A89" i="11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CZ88"/>
  <c r="DA88"/>
  <c r="DB88"/>
  <c r="DC88"/>
  <c r="DD88"/>
  <c r="DE88"/>
  <c r="DF88"/>
  <c r="DG88"/>
  <c r="DH88"/>
  <c r="DI88"/>
  <c r="DJ88"/>
  <c r="DK88"/>
  <c r="DL88"/>
  <c r="DM88"/>
  <c r="DN88"/>
  <c r="DO88"/>
  <c r="DP88"/>
  <c r="DQ88"/>
  <c r="DR88"/>
  <c r="DS88"/>
  <c r="DT88"/>
  <c r="DU88"/>
  <c r="DV88"/>
  <c r="DW88"/>
  <c r="DX88"/>
  <c r="DY88"/>
  <c r="DZ88"/>
  <c r="EA88"/>
  <c r="EB88"/>
  <c r="EC88"/>
  <c r="ED88"/>
  <c r="EE88"/>
  <c r="EF88"/>
  <c r="EG88"/>
  <c r="EH88"/>
  <c r="EI88"/>
  <c r="EJ88"/>
  <c r="EK88"/>
  <c r="EL88"/>
  <c r="EM88"/>
  <c r="EN88"/>
  <c r="EO88"/>
  <c r="EP88"/>
  <c r="EQ88"/>
  <c r="ER88"/>
  <c r="ES88"/>
  <c r="ET88"/>
  <c r="EU88"/>
  <c r="EV88"/>
  <c r="EW88"/>
  <c r="EX88"/>
  <c r="EY88"/>
  <c r="EZ88"/>
  <c r="FA88"/>
  <c r="FB88"/>
  <c r="FC88"/>
  <c r="FD88"/>
  <c r="FE88"/>
  <c r="FF88"/>
  <c r="FG88"/>
  <c r="FH88"/>
  <c r="FI88"/>
  <c r="FJ88"/>
  <c r="FK88"/>
  <c r="FL88"/>
  <c r="FM88"/>
  <c r="FN88"/>
  <c r="FO88"/>
  <c r="FP88"/>
  <c r="FQ88"/>
  <c r="FR88"/>
  <c r="FS88"/>
  <c r="FT88"/>
  <c r="FU88"/>
  <c r="FV88"/>
  <c r="FW88"/>
  <c r="FX88"/>
  <c r="FY88"/>
  <c r="FZ88"/>
  <c r="GA88"/>
  <c r="GB88"/>
  <c r="GC88"/>
  <c r="GD88"/>
  <c r="GE88"/>
  <c r="GF88"/>
  <c r="GG88"/>
  <c r="GH88"/>
  <c r="GI88"/>
  <c r="GJ88"/>
  <c r="GK88"/>
  <c r="GL88"/>
  <c r="GM88"/>
  <c r="GN88"/>
  <c r="GO88"/>
  <c r="GP88"/>
  <c r="GQ88"/>
  <c r="GR88"/>
  <c r="GS88"/>
  <c r="GT88"/>
  <c r="GU88"/>
  <c r="GV88"/>
  <c r="GW88"/>
  <c r="GX88"/>
  <c r="GY88"/>
  <c r="GZ88"/>
  <c r="HA88"/>
  <c r="HB88"/>
  <c r="HC88"/>
  <c r="HD88"/>
  <c r="HE88"/>
  <c r="HF88"/>
  <c r="HG88"/>
  <c r="HH88"/>
  <c r="HI88"/>
  <c r="HJ88"/>
  <c r="HK88"/>
  <c r="HL88"/>
  <c r="HM88"/>
  <c r="HN88"/>
  <c r="HO88"/>
  <c r="HP88"/>
  <c r="HQ88"/>
  <c r="HR88"/>
  <c r="HS88"/>
  <c r="HT88"/>
  <c r="HU88"/>
  <c r="HV88"/>
  <c r="HW88"/>
  <c r="HX88"/>
  <c r="HY88"/>
  <c r="HZ88"/>
  <c r="IA88"/>
  <c r="IB88"/>
  <c r="IC88"/>
  <c r="ID88"/>
  <c r="IE88"/>
  <c r="IF88"/>
  <c r="IG88"/>
  <c r="IH88"/>
  <c r="II88"/>
  <c r="IJ88"/>
  <c r="IK88"/>
  <c r="IL88"/>
  <c r="IM88"/>
  <c r="IN88"/>
  <c r="IO88"/>
  <c r="IP88"/>
  <c r="IQ88"/>
  <c r="IR88"/>
  <c r="IS88"/>
  <c r="IT88"/>
  <c r="IU88"/>
  <c r="IV88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DF87"/>
  <c r="DG87"/>
  <c r="DH87"/>
  <c r="DI87"/>
  <c r="DJ87"/>
  <c r="DK87"/>
  <c r="DL87"/>
  <c r="DM87"/>
  <c r="DN87"/>
  <c r="DO87"/>
  <c r="DP87"/>
  <c r="DQ87"/>
  <c r="DR87"/>
  <c r="DS87"/>
  <c r="DT87"/>
  <c r="DU87"/>
  <c r="DV87"/>
  <c r="DW87"/>
  <c r="DX87"/>
  <c r="DY87"/>
  <c r="DZ87"/>
  <c r="EA87"/>
  <c r="EB87"/>
  <c r="EC87"/>
  <c r="ED87"/>
  <c r="EE87"/>
  <c r="EF87"/>
  <c r="EG87"/>
  <c r="EH87"/>
  <c r="EI87"/>
  <c r="EJ87"/>
  <c r="EK87"/>
  <c r="EL87"/>
  <c r="EM87"/>
  <c r="EN87"/>
  <c r="EO87"/>
  <c r="EP87"/>
  <c r="EQ87"/>
  <c r="ER87"/>
  <c r="ES87"/>
  <c r="ET87"/>
  <c r="EU87"/>
  <c r="EV87"/>
  <c r="EW87"/>
  <c r="EX87"/>
  <c r="EY87"/>
  <c r="EZ87"/>
  <c r="FA87"/>
  <c r="FB87"/>
  <c r="FC87"/>
  <c r="FD87"/>
  <c r="FE87"/>
  <c r="FF87"/>
  <c r="FG87"/>
  <c r="FH87"/>
  <c r="FI87"/>
  <c r="FJ87"/>
  <c r="FK87"/>
  <c r="FL87"/>
  <c r="FM87"/>
  <c r="FN87"/>
  <c r="FO87"/>
  <c r="FP87"/>
  <c r="FQ87"/>
  <c r="FR87"/>
  <c r="FS87"/>
  <c r="FT87"/>
  <c r="FU87"/>
  <c r="FV87"/>
  <c r="FW87"/>
  <c r="FX87"/>
  <c r="FY87"/>
  <c r="FZ87"/>
  <c r="GA87"/>
  <c r="GB87"/>
  <c r="GC87"/>
  <c r="GD87"/>
  <c r="GE87"/>
  <c r="GF87"/>
  <c r="GG87"/>
  <c r="GH87"/>
  <c r="GI87"/>
  <c r="GJ87"/>
  <c r="GK87"/>
  <c r="GL87"/>
  <c r="GM87"/>
  <c r="GN87"/>
  <c r="GO87"/>
  <c r="GP87"/>
  <c r="GQ87"/>
  <c r="GR87"/>
  <c r="GS87"/>
  <c r="GT87"/>
  <c r="GU87"/>
  <c r="GV87"/>
  <c r="GW87"/>
  <c r="GX87"/>
  <c r="GY87"/>
  <c r="GZ87"/>
  <c r="HA87"/>
  <c r="HB87"/>
  <c r="HC87"/>
  <c r="HD87"/>
  <c r="HE87"/>
  <c r="HF87"/>
  <c r="HG87"/>
  <c r="HH87"/>
  <c r="HI87"/>
  <c r="HJ87"/>
  <c r="HK87"/>
  <c r="HL87"/>
  <c r="HM87"/>
  <c r="HN87"/>
  <c r="HO87"/>
  <c r="HP87"/>
  <c r="HQ87"/>
  <c r="HR87"/>
  <c r="HS87"/>
  <c r="HT87"/>
  <c r="HU87"/>
  <c r="HV87"/>
  <c r="HW87"/>
  <c r="HX87"/>
  <c r="HY87"/>
  <c r="HZ87"/>
  <c r="IA87"/>
  <c r="IB87"/>
  <c r="IC87"/>
  <c r="ID87"/>
  <c r="IE87"/>
  <c r="IF87"/>
  <c r="IG87"/>
  <c r="IH87"/>
  <c r="II87"/>
  <c r="IJ87"/>
  <c r="IK87"/>
  <c r="IL87"/>
  <c r="IM87"/>
  <c r="IN87"/>
  <c r="IO87"/>
  <c r="IP87"/>
  <c r="IQ87"/>
  <c r="IR87"/>
  <c r="IS87"/>
  <c r="IT87"/>
  <c r="IU87"/>
  <c r="IV87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DB86"/>
  <c r="DC86"/>
  <c r="DD86"/>
  <c r="DE86"/>
  <c r="DF86"/>
  <c r="DG86"/>
  <c r="DH86"/>
  <c r="DI86"/>
  <c r="DJ86"/>
  <c r="DK86"/>
  <c r="DL86"/>
  <c r="DM86"/>
  <c r="DN86"/>
  <c r="DO86"/>
  <c r="DP86"/>
  <c r="DQ86"/>
  <c r="DR86"/>
  <c r="DS86"/>
  <c r="DT86"/>
  <c r="DU86"/>
  <c r="DV86"/>
  <c r="DW86"/>
  <c r="DX86"/>
  <c r="DY86"/>
  <c r="DZ86"/>
  <c r="EA86"/>
  <c r="EB86"/>
  <c r="EC86"/>
  <c r="ED86"/>
  <c r="EE86"/>
  <c r="EF86"/>
  <c r="EG86"/>
  <c r="EH86"/>
  <c r="EI86"/>
  <c r="EJ86"/>
  <c r="EK86"/>
  <c r="EL86"/>
  <c r="EM86"/>
  <c r="EN86"/>
  <c r="EO86"/>
  <c r="EP86"/>
  <c r="EQ86"/>
  <c r="ER86"/>
  <c r="ES86"/>
  <c r="ET86"/>
  <c r="EU86"/>
  <c r="EV86"/>
  <c r="EW86"/>
  <c r="EX86"/>
  <c r="EY86"/>
  <c r="EZ86"/>
  <c r="FA86"/>
  <c r="FB86"/>
  <c r="FC86"/>
  <c r="FD86"/>
  <c r="FE86"/>
  <c r="FF86"/>
  <c r="FG86"/>
  <c r="FH86"/>
  <c r="FI86"/>
  <c r="FJ86"/>
  <c r="FK86"/>
  <c r="FL86"/>
  <c r="FM86"/>
  <c r="FN86"/>
  <c r="FO86"/>
  <c r="FP86"/>
  <c r="FQ86"/>
  <c r="FR86"/>
  <c r="FS86"/>
  <c r="FT86"/>
  <c r="FU86"/>
  <c r="FV86"/>
  <c r="FW86"/>
  <c r="FX86"/>
  <c r="FY86"/>
  <c r="FZ86"/>
  <c r="GA86"/>
  <c r="GB86"/>
  <c r="GC86"/>
  <c r="GD86"/>
  <c r="GE86"/>
  <c r="GF86"/>
  <c r="GG86"/>
  <c r="GH86"/>
  <c r="GI86"/>
  <c r="GJ86"/>
  <c r="GK86"/>
  <c r="GL86"/>
  <c r="GM86"/>
  <c r="GN86"/>
  <c r="GO86"/>
  <c r="GP86"/>
  <c r="GQ86"/>
  <c r="GR86"/>
  <c r="GS86"/>
  <c r="GT86"/>
  <c r="GU86"/>
  <c r="GV86"/>
  <c r="GW86"/>
  <c r="GX86"/>
  <c r="GY86"/>
  <c r="GZ86"/>
  <c r="HA86"/>
  <c r="HB86"/>
  <c r="HC86"/>
  <c r="HD86"/>
  <c r="HE86"/>
  <c r="HF86"/>
  <c r="HG86"/>
  <c r="HH86"/>
  <c r="HI86"/>
  <c r="HJ86"/>
  <c r="HK86"/>
  <c r="HL86"/>
  <c r="HM86"/>
  <c r="HN86"/>
  <c r="HO86"/>
  <c r="HP86"/>
  <c r="HQ86"/>
  <c r="HR86"/>
  <c r="HS86"/>
  <c r="HT86"/>
  <c r="HU86"/>
  <c r="HV86"/>
  <c r="HW86"/>
  <c r="HX86"/>
  <c r="HY86"/>
  <c r="HZ86"/>
  <c r="IA86"/>
  <c r="IB86"/>
  <c r="IC86"/>
  <c r="ID86"/>
  <c r="IE86"/>
  <c r="IF86"/>
  <c r="IG86"/>
  <c r="IH86"/>
  <c r="II86"/>
  <c r="IJ86"/>
  <c r="IK86"/>
  <c r="IL86"/>
  <c r="IM86"/>
  <c r="IN86"/>
  <c r="IO86"/>
  <c r="IP86"/>
  <c r="IQ86"/>
  <c r="IR86"/>
  <c r="IS86"/>
  <c r="IT86"/>
  <c r="IU86"/>
  <c r="IV86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DA85"/>
  <c r="DB85"/>
  <c r="DC85"/>
  <c r="DD85"/>
  <c r="DE85"/>
  <c r="DF85"/>
  <c r="DG85"/>
  <c r="DH85"/>
  <c r="DI85"/>
  <c r="DJ85"/>
  <c r="DK85"/>
  <c r="DL85"/>
  <c r="DM85"/>
  <c r="DN85"/>
  <c r="DO85"/>
  <c r="DP85"/>
  <c r="DQ85"/>
  <c r="DR85"/>
  <c r="DS85"/>
  <c r="DT85"/>
  <c r="DU85"/>
  <c r="DV85"/>
  <c r="DW85"/>
  <c r="DX85"/>
  <c r="DY85"/>
  <c r="DZ85"/>
  <c r="EA85"/>
  <c r="EB85"/>
  <c r="EC85"/>
  <c r="ED85"/>
  <c r="EE85"/>
  <c r="EF85"/>
  <c r="EG85"/>
  <c r="EH85"/>
  <c r="EI85"/>
  <c r="EJ85"/>
  <c r="EK85"/>
  <c r="EL85"/>
  <c r="EM85"/>
  <c r="EN85"/>
  <c r="EO85"/>
  <c r="EP85"/>
  <c r="EQ85"/>
  <c r="ER85"/>
  <c r="ES85"/>
  <c r="ET85"/>
  <c r="EU85"/>
  <c r="EV85"/>
  <c r="EW85"/>
  <c r="EX85"/>
  <c r="EY85"/>
  <c r="EZ85"/>
  <c r="FA85"/>
  <c r="FB85"/>
  <c r="FC85"/>
  <c r="FD85"/>
  <c r="FE85"/>
  <c r="FF85"/>
  <c r="FG85"/>
  <c r="FH85"/>
  <c r="FI85"/>
  <c r="FJ85"/>
  <c r="FK85"/>
  <c r="FL85"/>
  <c r="FM85"/>
  <c r="FN85"/>
  <c r="FO85"/>
  <c r="FP85"/>
  <c r="FQ85"/>
  <c r="FR85"/>
  <c r="FS85"/>
  <c r="FT85"/>
  <c r="FU85"/>
  <c r="FV85"/>
  <c r="FW85"/>
  <c r="FX85"/>
  <c r="FY85"/>
  <c r="FZ85"/>
  <c r="GA85"/>
  <c r="GB85"/>
  <c r="GC85"/>
  <c r="GD85"/>
  <c r="GE85"/>
  <c r="GF85"/>
  <c r="GG85"/>
  <c r="GH85"/>
  <c r="GI85"/>
  <c r="GJ85"/>
  <c r="GK85"/>
  <c r="GL85"/>
  <c r="GM85"/>
  <c r="GN85"/>
  <c r="GO85"/>
  <c r="GP85"/>
  <c r="GQ85"/>
  <c r="GR85"/>
  <c r="GS85"/>
  <c r="GT85"/>
  <c r="GU85"/>
  <c r="GV85"/>
  <c r="GW85"/>
  <c r="GX85"/>
  <c r="GY85"/>
  <c r="GZ85"/>
  <c r="HA85"/>
  <c r="HB85"/>
  <c r="HC85"/>
  <c r="HD85"/>
  <c r="HE85"/>
  <c r="HF85"/>
  <c r="HG85"/>
  <c r="HH85"/>
  <c r="HI85"/>
  <c r="HJ85"/>
  <c r="HK85"/>
  <c r="HL85"/>
  <c r="HM85"/>
  <c r="HN85"/>
  <c r="HO85"/>
  <c r="HP85"/>
  <c r="HQ85"/>
  <c r="HR85"/>
  <c r="HS85"/>
  <c r="HT85"/>
  <c r="HU85"/>
  <c r="HV85"/>
  <c r="HW85"/>
  <c r="HX85"/>
  <c r="HY85"/>
  <c r="HZ85"/>
  <c r="IA85"/>
  <c r="IB85"/>
  <c r="IC85"/>
  <c r="ID85"/>
  <c r="IE85"/>
  <c r="IF85"/>
  <c r="IG85"/>
  <c r="IH85"/>
  <c r="II85"/>
  <c r="IJ85"/>
  <c r="IK85"/>
  <c r="IL85"/>
  <c r="IM85"/>
  <c r="IN85"/>
  <c r="IO85"/>
  <c r="IP85"/>
  <c r="IQ85"/>
  <c r="IR85"/>
  <c r="IS85"/>
  <c r="IT85"/>
  <c r="IU85"/>
  <c r="IV85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DB84"/>
  <c r="DC84"/>
  <c r="DD84"/>
  <c r="DE84"/>
  <c r="DF84"/>
  <c r="DG84"/>
  <c r="DH84"/>
  <c r="DI84"/>
  <c r="DJ84"/>
  <c r="DK84"/>
  <c r="DL84"/>
  <c r="DM84"/>
  <c r="DN84"/>
  <c r="DO84"/>
  <c r="DP84"/>
  <c r="DQ84"/>
  <c r="DR84"/>
  <c r="DS84"/>
  <c r="DT84"/>
  <c r="DU84"/>
  <c r="DV84"/>
  <c r="DW84"/>
  <c r="DX84"/>
  <c r="DY84"/>
  <c r="DZ84"/>
  <c r="EA84"/>
  <c r="EB84"/>
  <c r="EC84"/>
  <c r="ED84"/>
  <c r="EE84"/>
  <c r="EF84"/>
  <c r="EG84"/>
  <c r="EH84"/>
  <c r="EI84"/>
  <c r="EJ84"/>
  <c r="EK84"/>
  <c r="EL84"/>
  <c r="EM84"/>
  <c r="EN84"/>
  <c r="EO84"/>
  <c r="EP84"/>
  <c r="EQ84"/>
  <c r="ER84"/>
  <c r="ES84"/>
  <c r="ET84"/>
  <c r="EU84"/>
  <c r="EV84"/>
  <c r="EW84"/>
  <c r="EX84"/>
  <c r="EY84"/>
  <c r="EZ84"/>
  <c r="FA84"/>
  <c r="FB84"/>
  <c r="FC84"/>
  <c r="FD84"/>
  <c r="FE84"/>
  <c r="FF84"/>
  <c r="FG84"/>
  <c r="FH84"/>
  <c r="FI84"/>
  <c r="FJ84"/>
  <c r="FK84"/>
  <c r="FL84"/>
  <c r="FM84"/>
  <c r="FN84"/>
  <c r="FO84"/>
  <c r="FP84"/>
  <c r="FQ84"/>
  <c r="FR84"/>
  <c r="FS84"/>
  <c r="FT84"/>
  <c r="FU84"/>
  <c r="FV84"/>
  <c r="FW84"/>
  <c r="FX84"/>
  <c r="FY84"/>
  <c r="FZ84"/>
  <c r="GA84"/>
  <c r="GB84"/>
  <c r="GC84"/>
  <c r="GD84"/>
  <c r="GE84"/>
  <c r="GF84"/>
  <c r="GG84"/>
  <c r="GH84"/>
  <c r="GI84"/>
  <c r="GJ84"/>
  <c r="GK84"/>
  <c r="GL84"/>
  <c r="GM84"/>
  <c r="GN84"/>
  <c r="GO84"/>
  <c r="GP84"/>
  <c r="GQ84"/>
  <c r="GR84"/>
  <c r="GS84"/>
  <c r="GT84"/>
  <c r="GU84"/>
  <c r="GV84"/>
  <c r="GW84"/>
  <c r="GX84"/>
  <c r="GY84"/>
  <c r="GZ84"/>
  <c r="HA84"/>
  <c r="HB84"/>
  <c r="HC84"/>
  <c r="HD84"/>
  <c r="HE84"/>
  <c r="HF84"/>
  <c r="HG84"/>
  <c r="HH84"/>
  <c r="HI84"/>
  <c r="HJ84"/>
  <c r="HK84"/>
  <c r="HL84"/>
  <c r="HM84"/>
  <c r="HN84"/>
  <c r="HO84"/>
  <c r="HP84"/>
  <c r="HQ84"/>
  <c r="HR84"/>
  <c r="HS84"/>
  <c r="HT84"/>
  <c r="HU84"/>
  <c r="HV84"/>
  <c r="HW84"/>
  <c r="HX84"/>
  <c r="HY84"/>
  <c r="HZ84"/>
  <c r="IA84"/>
  <c r="IB84"/>
  <c r="IC84"/>
  <c r="ID84"/>
  <c r="IE84"/>
  <c r="IF84"/>
  <c r="IG84"/>
  <c r="IH84"/>
  <c r="II84"/>
  <c r="IJ84"/>
  <c r="IK84"/>
  <c r="IL84"/>
  <c r="IM84"/>
  <c r="IN84"/>
  <c r="IO84"/>
  <c r="IP84"/>
  <c r="IQ84"/>
  <c r="IR84"/>
  <c r="IS84"/>
  <c r="IT84"/>
  <c r="IU84"/>
  <c r="IV84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DA83"/>
  <c r="DB83"/>
  <c r="DC83"/>
  <c r="DD83"/>
  <c r="DE83"/>
  <c r="DF83"/>
  <c r="DG83"/>
  <c r="DH83"/>
  <c r="DI83"/>
  <c r="DJ83"/>
  <c r="DK83"/>
  <c r="DL83"/>
  <c r="DM83"/>
  <c r="DN83"/>
  <c r="DO83"/>
  <c r="DP83"/>
  <c r="DQ83"/>
  <c r="DR83"/>
  <c r="DS83"/>
  <c r="DT83"/>
  <c r="DU83"/>
  <c r="DV83"/>
  <c r="DW83"/>
  <c r="DX83"/>
  <c r="DY83"/>
  <c r="DZ83"/>
  <c r="EA83"/>
  <c r="EB83"/>
  <c r="EC83"/>
  <c r="ED83"/>
  <c r="EE83"/>
  <c r="EF83"/>
  <c r="EG83"/>
  <c r="EH83"/>
  <c r="EI83"/>
  <c r="EJ83"/>
  <c r="EK83"/>
  <c r="EL83"/>
  <c r="EM83"/>
  <c r="EN83"/>
  <c r="EO83"/>
  <c r="EP83"/>
  <c r="EQ83"/>
  <c r="ER83"/>
  <c r="ES83"/>
  <c r="ET83"/>
  <c r="EU83"/>
  <c r="EV83"/>
  <c r="EW83"/>
  <c r="EX83"/>
  <c r="EY83"/>
  <c r="EZ83"/>
  <c r="FA83"/>
  <c r="FB83"/>
  <c r="FC83"/>
  <c r="FD83"/>
  <c r="FE83"/>
  <c r="FF83"/>
  <c r="FG83"/>
  <c r="FH83"/>
  <c r="FI83"/>
  <c r="FJ83"/>
  <c r="FK83"/>
  <c r="FL83"/>
  <c r="FM83"/>
  <c r="FN83"/>
  <c r="FO83"/>
  <c r="FP83"/>
  <c r="FQ83"/>
  <c r="FR83"/>
  <c r="FS83"/>
  <c r="FT83"/>
  <c r="FU83"/>
  <c r="FV83"/>
  <c r="FW83"/>
  <c r="FX83"/>
  <c r="FY83"/>
  <c r="FZ83"/>
  <c r="GA83"/>
  <c r="GB83"/>
  <c r="GC83"/>
  <c r="GD83"/>
  <c r="GE83"/>
  <c r="GF83"/>
  <c r="GG83"/>
  <c r="GH83"/>
  <c r="GI83"/>
  <c r="GJ83"/>
  <c r="GK83"/>
  <c r="GL83"/>
  <c r="GM83"/>
  <c r="GN83"/>
  <c r="GO83"/>
  <c r="GP83"/>
  <c r="GQ83"/>
  <c r="GR83"/>
  <c r="GS83"/>
  <c r="GT83"/>
  <c r="GU83"/>
  <c r="GV83"/>
  <c r="GW83"/>
  <c r="GX83"/>
  <c r="GY83"/>
  <c r="GZ83"/>
  <c r="HA83"/>
  <c r="HB83"/>
  <c r="HC83"/>
  <c r="HD83"/>
  <c r="HE83"/>
  <c r="HF83"/>
  <c r="HG83"/>
  <c r="HH83"/>
  <c r="HI83"/>
  <c r="HJ83"/>
  <c r="HK83"/>
  <c r="HL83"/>
  <c r="HM83"/>
  <c r="HN83"/>
  <c r="HO83"/>
  <c r="HP83"/>
  <c r="HQ83"/>
  <c r="HR83"/>
  <c r="HS83"/>
  <c r="HT83"/>
  <c r="HU83"/>
  <c r="HV83"/>
  <c r="HW83"/>
  <c r="HX83"/>
  <c r="HY83"/>
  <c r="HZ83"/>
  <c r="IA83"/>
  <c r="IB83"/>
  <c r="IC83"/>
  <c r="ID83"/>
  <c r="IE83"/>
  <c r="IF83"/>
  <c r="IG83"/>
  <c r="IH83"/>
  <c r="II83"/>
  <c r="IJ83"/>
  <c r="IK83"/>
  <c r="IL83"/>
  <c r="IM83"/>
  <c r="IN83"/>
  <c r="IO83"/>
  <c r="IP83"/>
  <c r="IQ83"/>
  <c r="IR83"/>
  <c r="IS83"/>
  <c r="IT83"/>
  <c r="IU83"/>
  <c r="IV83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EG82"/>
  <c r="EH82"/>
  <c r="EI82"/>
  <c r="EJ82"/>
  <c r="EK82"/>
  <c r="EL82"/>
  <c r="EM82"/>
  <c r="EN82"/>
  <c r="EO82"/>
  <c r="EP82"/>
  <c r="EQ82"/>
  <c r="ER82"/>
  <c r="ES82"/>
  <c r="ET82"/>
  <c r="EU82"/>
  <c r="EV82"/>
  <c r="EW82"/>
  <c r="EX82"/>
  <c r="EY82"/>
  <c r="EZ82"/>
  <c r="FA82"/>
  <c r="FB82"/>
  <c r="FC82"/>
  <c r="FD82"/>
  <c r="FE82"/>
  <c r="FF82"/>
  <c r="FG82"/>
  <c r="FH82"/>
  <c r="FI82"/>
  <c r="FJ82"/>
  <c r="FK82"/>
  <c r="FL82"/>
  <c r="FM82"/>
  <c r="FN82"/>
  <c r="FO82"/>
  <c r="FP82"/>
  <c r="FQ82"/>
  <c r="FR82"/>
  <c r="FS82"/>
  <c r="FT82"/>
  <c r="FU82"/>
  <c r="FV82"/>
  <c r="FW82"/>
  <c r="FX82"/>
  <c r="FY82"/>
  <c r="FZ82"/>
  <c r="GA82"/>
  <c r="GB82"/>
  <c r="GC82"/>
  <c r="GD82"/>
  <c r="GE82"/>
  <c r="GF82"/>
  <c r="GG82"/>
  <c r="GH82"/>
  <c r="GI82"/>
  <c r="GJ82"/>
  <c r="GK82"/>
  <c r="GL82"/>
  <c r="GM82"/>
  <c r="GN82"/>
  <c r="GO82"/>
  <c r="GP82"/>
  <c r="GQ82"/>
  <c r="GR82"/>
  <c r="GS82"/>
  <c r="GT82"/>
  <c r="GU82"/>
  <c r="GV82"/>
  <c r="GW82"/>
  <c r="GX82"/>
  <c r="GY82"/>
  <c r="GZ82"/>
  <c r="HA82"/>
  <c r="HB82"/>
  <c r="HC82"/>
  <c r="HD82"/>
  <c r="HE82"/>
  <c r="HF82"/>
  <c r="HG82"/>
  <c r="HH82"/>
  <c r="HI82"/>
  <c r="HJ82"/>
  <c r="HK82"/>
  <c r="HL82"/>
  <c r="HM82"/>
  <c r="HN82"/>
  <c r="HO82"/>
  <c r="HP82"/>
  <c r="HQ82"/>
  <c r="HR82"/>
  <c r="HS82"/>
  <c r="HT82"/>
  <c r="HU82"/>
  <c r="HV82"/>
  <c r="HW82"/>
  <c r="HX82"/>
  <c r="HY82"/>
  <c r="HZ82"/>
  <c r="IA82"/>
  <c r="IB82"/>
  <c r="IC82"/>
  <c r="ID82"/>
  <c r="IE82"/>
  <c r="IF82"/>
  <c r="IG82"/>
  <c r="IH82"/>
  <c r="II82"/>
  <c r="IJ82"/>
  <c r="IK82"/>
  <c r="IL82"/>
  <c r="IM82"/>
  <c r="IN82"/>
  <c r="IO82"/>
  <c r="IP82"/>
  <c r="IQ82"/>
  <c r="IR82"/>
  <c r="IS82"/>
  <c r="IT82"/>
  <c r="IU82"/>
  <c r="IV82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CZ81"/>
  <c r="DA81"/>
  <c r="DB81"/>
  <c r="DC81"/>
  <c r="DD81"/>
  <c r="DE81"/>
  <c r="DF81"/>
  <c r="DG81"/>
  <c r="DH81"/>
  <c r="DI81"/>
  <c r="DJ81"/>
  <c r="DK81"/>
  <c r="DL81"/>
  <c r="DM81"/>
  <c r="DN81"/>
  <c r="DO81"/>
  <c r="DP81"/>
  <c r="DQ81"/>
  <c r="DR81"/>
  <c r="DS81"/>
  <c r="DT81"/>
  <c r="DU81"/>
  <c r="DV81"/>
  <c r="DW81"/>
  <c r="DX81"/>
  <c r="DY81"/>
  <c r="DZ81"/>
  <c r="EA81"/>
  <c r="EB81"/>
  <c r="EC81"/>
  <c r="ED81"/>
  <c r="EE81"/>
  <c r="EF81"/>
  <c r="EG81"/>
  <c r="EH81"/>
  <c r="EI81"/>
  <c r="EJ81"/>
  <c r="EK81"/>
  <c r="EL81"/>
  <c r="EM81"/>
  <c r="EN81"/>
  <c r="EO81"/>
  <c r="EP81"/>
  <c r="EQ81"/>
  <c r="ER81"/>
  <c r="ES81"/>
  <c r="ET81"/>
  <c r="EU81"/>
  <c r="EV81"/>
  <c r="EW81"/>
  <c r="EX81"/>
  <c r="EY81"/>
  <c r="EZ81"/>
  <c r="FA81"/>
  <c r="FB81"/>
  <c r="FC81"/>
  <c r="FD81"/>
  <c r="FE81"/>
  <c r="FF81"/>
  <c r="FG81"/>
  <c r="FH81"/>
  <c r="FI81"/>
  <c r="FJ81"/>
  <c r="FK81"/>
  <c r="FL81"/>
  <c r="FM81"/>
  <c r="FN81"/>
  <c r="FO81"/>
  <c r="FP81"/>
  <c r="FQ81"/>
  <c r="FR81"/>
  <c r="FS81"/>
  <c r="FT81"/>
  <c r="FU81"/>
  <c r="FV81"/>
  <c r="FW81"/>
  <c r="FX81"/>
  <c r="FY81"/>
  <c r="FZ81"/>
  <c r="GA81"/>
  <c r="GB81"/>
  <c r="GC81"/>
  <c r="GD81"/>
  <c r="GE81"/>
  <c r="GF81"/>
  <c r="GG81"/>
  <c r="GH81"/>
  <c r="GI81"/>
  <c r="GJ81"/>
  <c r="GK81"/>
  <c r="GL81"/>
  <c r="GM81"/>
  <c r="GN81"/>
  <c r="GO81"/>
  <c r="GP81"/>
  <c r="GQ81"/>
  <c r="GR81"/>
  <c r="GS81"/>
  <c r="GT81"/>
  <c r="GU81"/>
  <c r="GV81"/>
  <c r="GW81"/>
  <c r="GX81"/>
  <c r="GY81"/>
  <c r="GZ81"/>
  <c r="HA81"/>
  <c r="HB81"/>
  <c r="HC81"/>
  <c r="HD81"/>
  <c r="HE81"/>
  <c r="HF81"/>
  <c r="HG81"/>
  <c r="HH81"/>
  <c r="HI81"/>
  <c r="HJ81"/>
  <c r="HK81"/>
  <c r="HL81"/>
  <c r="HM81"/>
  <c r="HN81"/>
  <c r="HO81"/>
  <c r="HP81"/>
  <c r="HQ81"/>
  <c r="HR81"/>
  <c r="HS81"/>
  <c r="HT81"/>
  <c r="HU81"/>
  <c r="HV81"/>
  <c r="HW81"/>
  <c r="HX81"/>
  <c r="HY81"/>
  <c r="HZ81"/>
  <c r="IA81"/>
  <c r="IB81"/>
  <c r="IC81"/>
  <c r="ID81"/>
  <c r="IE81"/>
  <c r="IF81"/>
  <c r="IG81"/>
  <c r="IH81"/>
  <c r="II81"/>
  <c r="IJ81"/>
  <c r="IK81"/>
  <c r="IL81"/>
  <c r="IM81"/>
  <c r="IN81"/>
  <c r="IO81"/>
  <c r="IP81"/>
  <c r="IQ81"/>
  <c r="IR81"/>
  <c r="IS81"/>
  <c r="IT81"/>
  <c r="IU81"/>
  <c r="IV81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DZ80"/>
  <c r="EA80"/>
  <c r="EB80"/>
  <c r="EC80"/>
  <c r="ED80"/>
  <c r="EE80"/>
  <c r="EF80"/>
  <c r="EG80"/>
  <c r="EH80"/>
  <c r="EI80"/>
  <c r="EJ80"/>
  <c r="EK80"/>
  <c r="EL80"/>
  <c r="EM80"/>
  <c r="EN80"/>
  <c r="EO80"/>
  <c r="EP80"/>
  <c r="EQ80"/>
  <c r="ER80"/>
  <c r="ES80"/>
  <c r="ET80"/>
  <c r="EU80"/>
  <c r="EV80"/>
  <c r="EW80"/>
  <c r="EX80"/>
  <c r="EY80"/>
  <c r="EZ80"/>
  <c r="FA80"/>
  <c r="FB80"/>
  <c r="FC80"/>
  <c r="FD80"/>
  <c r="FE80"/>
  <c r="FF80"/>
  <c r="FG80"/>
  <c r="FH80"/>
  <c r="FI80"/>
  <c r="FJ80"/>
  <c r="FK80"/>
  <c r="FL80"/>
  <c r="FM80"/>
  <c r="FN80"/>
  <c r="FO80"/>
  <c r="FP80"/>
  <c r="FQ80"/>
  <c r="FR80"/>
  <c r="FS80"/>
  <c r="FT80"/>
  <c r="FU80"/>
  <c r="FV80"/>
  <c r="FW80"/>
  <c r="FX80"/>
  <c r="FY80"/>
  <c r="FZ80"/>
  <c r="GA80"/>
  <c r="GB80"/>
  <c r="GC80"/>
  <c r="GD80"/>
  <c r="GE80"/>
  <c r="GF80"/>
  <c r="GG80"/>
  <c r="GH80"/>
  <c r="GI80"/>
  <c r="GJ80"/>
  <c r="GK80"/>
  <c r="GL80"/>
  <c r="GM80"/>
  <c r="GN80"/>
  <c r="GO80"/>
  <c r="GP80"/>
  <c r="GQ80"/>
  <c r="GR80"/>
  <c r="GS80"/>
  <c r="GT80"/>
  <c r="GU80"/>
  <c r="GV80"/>
  <c r="GW80"/>
  <c r="GX80"/>
  <c r="GY80"/>
  <c r="GZ80"/>
  <c r="HA80"/>
  <c r="HB80"/>
  <c r="HC80"/>
  <c r="HD80"/>
  <c r="HE80"/>
  <c r="HF80"/>
  <c r="HG80"/>
  <c r="HH80"/>
  <c r="HI80"/>
  <c r="HJ80"/>
  <c r="HK80"/>
  <c r="HL80"/>
  <c r="HM80"/>
  <c r="HN80"/>
  <c r="HO80"/>
  <c r="HP80"/>
  <c r="HQ80"/>
  <c r="HR80"/>
  <c r="HS80"/>
  <c r="HT80"/>
  <c r="HU80"/>
  <c r="HV80"/>
  <c r="HW80"/>
  <c r="HX80"/>
  <c r="HY80"/>
  <c r="HZ80"/>
  <c r="IA80"/>
  <c r="IB80"/>
  <c r="IC80"/>
  <c r="ID80"/>
  <c r="IE80"/>
  <c r="IF80"/>
  <c r="IG80"/>
  <c r="IH80"/>
  <c r="II80"/>
  <c r="IJ80"/>
  <c r="IK80"/>
  <c r="IL80"/>
  <c r="IM80"/>
  <c r="IN80"/>
  <c r="IO80"/>
  <c r="IP80"/>
  <c r="IQ80"/>
  <c r="IR80"/>
  <c r="IS80"/>
  <c r="IT80"/>
  <c r="IU80"/>
  <c r="IV80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DZ79"/>
  <c r="EA79"/>
  <c r="EB79"/>
  <c r="EC79"/>
  <c r="ED79"/>
  <c r="EE79"/>
  <c r="EF79"/>
  <c r="EG79"/>
  <c r="EH79"/>
  <c r="EI79"/>
  <c r="EJ79"/>
  <c r="EK79"/>
  <c r="EL79"/>
  <c r="EM79"/>
  <c r="EN79"/>
  <c r="EO79"/>
  <c r="EP79"/>
  <c r="EQ79"/>
  <c r="ER79"/>
  <c r="ES79"/>
  <c r="ET79"/>
  <c r="EU79"/>
  <c r="EV79"/>
  <c r="EW79"/>
  <c r="EX79"/>
  <c r="EY79"/>
  <c r="EZ79"/>
  <c r="FA79"/>
  <c r="FB79"/>
  <c r="FC79"/>
  <c r="FD79"/>
  <c r="FE79"/>
  <c r="FF79"/>
  <c r="FG79"/>
  <c r="FH79"/>
  <c r="FI79"/>
  <c r="FJ79"/>
  <c r="FK79"/>
  <c r="FL79"/>
  <c r="FM79"/>
  <c r="FN79"/>
  <c r="FO79"/>
  <c r="FP79"/>
  <c r="FQ79"/>
  <c r="FR79"/>
  <c r="FS79"/>
  <c r="FT79"/>
  <c r="FU79"/>
  <c r="FV79"/>
  <c r="FW79"/>
  <c r="FX79"/>
  <c r="FY79"/>
  <c r="FZ79"/>
  <c r="GA79"/>
  <c r="GB79"/>
  <c r="GC79"/>
  <c r="GD79"/>
  <c r="GE79"/>
  <c r="GF79"/>
  <c r="GG79"/>
  <c r="GH79"/>
  <c r="GI79"/>
  <c r="GJ79"/>
  <c r="GK79"/>
  <c r="GL79"/>
  <c r="GM79"/>
  <c r="GN79"/>
  <c r="GO79"/>
  <c r="GP79"/>
  <c r="GQ79"/>
  <c r="GR79"/>
  <c r="GS79"/>
  <c r="GT79"/>
  <c r="GU79"/>
  <c r="GV79"/>
  <c r="GW79"/>
  <c r="GX79"/>
  <c r="GY79"/>
  <c r="GZ79"/>
  <c r="HA79"/>
  <c r="HB79"/>
  <c r="HC79"/>
  <c r="HD79"/>
  <c r="HE79"/>
  <c r="HF79"/>
  <c r="HG79"/>
  <c r="HH79"/>
  <c r="HI79"/>
  <c r="HJ79"/>
  <c r="HK79"/>
  <c r="HL79"/>
  <c r="HM79"/>
  <c r="HN79"/>
  <c r="HO79"/>
  <c r="HP79"/>
  <c r="HQ79"/>
  <c r="HR79"/>
  <c r="HS79"/>
  <c r="HT79"/>
  <c r="HU79"/>
  <c r="HV79"/>
  <c r="HW79"/>
  <c r="HX79"/>
  <c r="HY79"/>
  <c r="HZ79"/>
  <c r="IA79"/>
  <c r="IB79"/>
  <c r="IC79"/>
  <c r="ID79"/>
  <c r="IE79"/>
  <c r="IF79"/>
  <c r="IG79"/>
  <c r="IH79"/>
  <c r="II79"/>
  <c r="IJ79"/>
  <c r="IK79"/>
  <c r="IL79"/>
  <c r="IM79"/>
  <c r="IN79"/>
  <c r="IO79"/>
  <c r="IP79"/>
  <c r="IQ79"/>
  <c r="IR79"/>
  <c r="IS79"/>
  <c r="IT79"/>
  <c r="IU79"/>
  <c r="IV79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DZ78"/>
  <c r="EA78"/>
  <c r="EB78"/>
  <c r="EC78"/>
  <c r="ED78"/>
  <c r="EE78"/>
  <c r="EF78"/>
  <c r="EG78"/>
  <c r="EH78"/>
  <c r="EI78"/>
  <c r="EJ78"/>
  <c r="EK78"/>
  <c r="EL78"/>
  <c r="EM78"/>
  <c r="EN78"/>
  <c r="EO78"/>
  <c r="EP78"/>
  <c r="EQ78"/>
  <c r="ER78"/>
  <c r="ES78"/>
  <c r="ET78"/>
  <c r="EU78"/>
  <c r="EV78"/>
  <c r="EW78"/>
  <c r="EX78"/>
  <c r="EY78"/>
  <c r="EZ78"/>
  <c r="FA78"/>
  <c r="FB78"/>
  <c r="FC78"/>
  <c r="FD78"/>
  <c r="FE78"/>
  <c r="FF78"/>
  <c r="FG78"/>
  <c r="FH78"/>
  <c r="FI78"/>
  <c r="FJ78"/>
  <c r="FK78"/>
  <c r="FL78"/>
  <c r="FM78"/>
  <c r="FN78"/>
  <c r="FO78"/>
  <c r="FP78"/>
  <c r="FQ78"/>
  <c r="FR78"/>
  <c r="FS78"/>
  <c r="FT78"/>
  <c r="FU78"/>
  <c r="FV78"/>
  <c r="FW78"/>
  <c r="FX78"/>
  <c r="FY78"/>
  <c r="FZ78"/>
  <c r="GA78"/>
  <c r="GB78"/>
  <c r="GC78"/>
  <c r="GD78"/>
  <c r="GE78"/>
  <c r="GF78"/>
  <c r="GG78"/>
  <c r="GH78"/>
  <c r="GI78"/>
  <c r="GJ78"/>
  <c r="GK78"/>
  <c r="GL78"/>
  <c r="GM78"/>
  <c r="GN78"/>
  <c r="GO78"/>
  <c r="GP78"/>
  <c r="GQ78"/>
  <c r="GR78"/>
  <c r="GS78"/>
  <c r="GT78"/>
  <c r="GU78"/>
  <c r="GV78"/>
  <c r="GW78"/>
  <c r="GX78"/>
  <c r="GY78"/>
  <c r="GZ78"/>
  <c r="HA78"/>
  <c r="HB78"/>
  <c r="HC78"/>
  <c r="HD78"/>
  <c r="HE78"/>
  <c r="HF78"/>
  <c r="HG78"/>
  <c r="HH78"/>
  <c r="HI78"/>
  <c r="HJ78"/>
  <c r="HK78"/>
  <c r="HL78"/>
  <c r="HM78"/>
  <c r="HN78"/>
  <c r="HO78"/>
  <c r="HP78"/>
  <c r="HQ78"/>
  <c r="HR78"/>
  <c r="HS78"/>
  <c r="HT78"/>
  <c r="HU78"/>
  <c r="HV78"/>
  <c r="HW78"/>
  <c r="HX78"/>
  <c r="HY78"/>
  <c r="HZ78"/>
  <c r="IA78"/>
  <c r="IB78"/>
  <c r="IC78"/>
  <c r="ID78"/>
  <c r="IE78"/>
  <c r="IF78"/>
  <c r="IG78"/>
  <c r="IH78"/>
  <c r="II78"/>
  <c r="IJ78"/>
  <c r="IK78"/>
  <c r="IL78"/>
  <c r="IM78"/>
  <c r="IN78"/>
  <c r="IO78"/>
  <c r="IP78"/>
  <c r="IQ78"/>
  <c r="IR78"/>
  <c r="IS78"/>
  <c r="IT78"/>
  <c r="IU78"/>
  <c r="IV78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EH77"/>
  <c r="EI77"/>
  <c r="EJ77"/>
  <c r="EK77"/>
  <c r="EL77"/>
  <c r="EM77"/>
  <c r="EN77"/>
  <c r="EO77"/>
  <c r="EP77"/>
  <c r="EQ77"/>
  <c r="ER77"/>
  <c r="ES77"/>
  <c r="ET77"/>
  <c r="EU77"/>
  <c r="EV77"/>
  <c r="EW77"/>
  <c r="EX77"/>
  <c r="EY77"/>
  <c r="EZ77"/>
  <c r="FA77"/>
  <c r="FB77"/>
  <c r="FC77"/>
  <c r="FD77"/>
  <c r="FE77"/>
  <c r="FF77"/>
  <c r="FG77"/>
  <c r="FH77"/>
  <c r="FI77"/>
  <c r="FJ77"/>
  <c r="FK77"/>
  <c r="FL77"/>
  <c r="FM77"/>
  <c r="FN77"/>
  <c r="FO77"/>
  <c r="FP77"/>
  <c r="FQ77"/>
  <c r="FR77"/>
  <c r="FS77"/>
  <c r="FT77"/>
  <c r="FU77"/>
  <c r="FV77"/>
  <c r="FW77"/>
  <c r="FX77"/>
  <c r="FY77"/>
  <c r="FZ77"/>
  <c r="GA77"/>
  <c r="GB77"/>
  <c r="GC77"/>
  <c r="GD77"/>
  <c r="GE77"/>
  <c r="GF77"/>
  <c r="GG77"/>
  <c r="GH77"/>
  <c r="GI77"/>
  <c r="GJ77"/>
  <c r="GK77"/>
  <c r="GL77"/>
  <c r="GM77"/>
  <c r="GN77"/>
  <c r="GO77"/>
  <c r="GP77"/>
  <c r="GQ77"/>
  <c r="GR77"/>
  <c r="GS77"/>
  <c r="GT77"/>
  <c r="GU77"/>
  <c r="GV77"/>
  <c r="GW77"/>
  <c r="GX77"/>
  <c r="GY77"/>
  <c r="GZ77"/>
  <c r="HA77"/>
  <c r="HB77"/>
  <c r="HC77"/>
  <c r="HD77"/>
  <c r="HE77"/>
  <c r="HF77"/>
  <c r="HG77"/>
  <c r="HH77"/>
  <c r="HI77"/>
  <c r="HJ77"/>
  <c r="HK77"/>
  <c r="HL77"/>
  <c r="HM77"/>
  <c r="HN77"/>
  <c r="HO77"/>
  <c r="HP77"/>
  <c r="HQ77"/>
  <c r="HR77"/>
  <c r="HS77"/>
  <c r="HT77"/>
  <c r="HU77"/>
  <c r="HV77"/>
  <c r="HW77"/>
  <c r="HX77"/>
  <c r="HY77"/>
  <c r="HZ77"/>
  <c r="IA77"/>
  <c r="IB77"/>
  <c r="IC77"/>
  <c r="ID77"/>
  <c r="IE77"/>
  <c r="IF77"/>
  <c r="IG77"/>
  <c r="IH77"/>
  <c r="II77"/>
  <c r="IJ77"/>
  <c r="IK77"/>
  <c r="IL77"/>
  <c r="IM77"/>
  <c r="IN77"/>
  <c r="IO77"/>
  <c r="IP77"/>
  <c r="IQ77"/>
  <c r="IR77"/>
  <c r="IS77"/>
  <c r="IT77"/>
  <c r="IU77"/>
  <c r="IV77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DZ76"/>
  <c r="EA76"/>
  <c r="EB76"/>
  <c r="EC76"/>
  <c r="ED76"/>
  <c r="EE76"/>
  <c r="EF76"/>
  <c r="EG76"/>
  <c r="EH76"/>
  <c r="EI76"/>
  <c r="EJ76"/>
  <c r="EK76"/>
  <c r="EL76"/>
  <c r="EM76"/>
  <c r="EN76"/>
  <c r="EO76"/>
  <c r="EP76"/>
  <c r="EQ76"/>
  <c r="ER76"/>
  <c r="ES76"/>
  <c r="ET76"/>
  <c r="EU76"/>
  <c r="EV76"/>
  <c r="EW76"/>
  <c r="EX76"/>
  <c r="EY76"/>
  <c r="EZ76"/>
  <c r="FA76"/>
  <c r="FB76"/>
  <c r="FC76"/>
  <c r="FD76"/>
  <c r="FE76"/>
  <c r="FF76"/>
  <c r="FG76"/>
  <c r="FH76"/>
  <c r="FI76"/>
  <c r="FJ76"/>
  <c r="FK76"/>
  <c r="FL76"/>
  <c r="FM76"/>
  <c r="FN76"/>
  <c r="FO76"/>
  <c r="FP76"/>
  <c r="FQ76"/>
  <c r="FR76"/>
  <c r="FS76"/>
  <c r="FT76"/>
  <c r="FU76"/>
  <c r="FV76"/>
  <c r="FW76"/>
  <c r="FX76"/>
  <c r="FY76"/>
  <c r="FZ76"/>
  <c r="GA76"/>
  <c r="GB76"/>
  <c r="GC76"/>
  <c r="GD76"/>
  <c r="GE76"/>
  <c r="GF76"/>
  <c r="GG76"/>
  <c r="GH76"/>
  <c r="GI76"/>
  <c r="GJ76"/>
  <c r="GK76"/>
  <c r="GL76"/>
  <c r="GM76"/>
  <c r="GN76"/>
  <c r="GO76"/>
  <c r="GP76"/>
  <c r="GQ76"/>
  <c r="GR76"/>
  <c r="GS76"/>
  <c r="GT76"/>
  <c r="GU76"/>
  <c r="GV76"/>
  <c r="GW76"/>
  <c r="GX76"/>
  <c r="GY76"/>
  <c r="GZ76"/>
  <c r="HA76"/>
  <c r="HB76"/>
  <c r="HC76"/>
  <c r="HD76"/>
  <c r="HE76"/>
  <c r="HF76"/>
  <c r="HG76"/>
  <c r="HH76"/>
  <c r="HI76"/>
  <c r="HJ76"/>
  <c r="HK76"/>
  <c r="HL76"/>
  <c r="HM76"/>
  <c r="HN76"/>
  <c r="HO76"/>
  <c r="HP76"/>
  <c r="HQ76"/>
  <c r="HR76"/>
  <c r="HS76"/>
  <c r="HT76"/>
  <c r="HU76"/>
  <c r="HV76"/>
  <c r="HW76"/>
  <c r="HX76"/>
  <c r="HY76"/>
  <c r="HZ76"/>
  <c r="IA76"/>
  <c r="IB76"/>
  <c r="IC76"/>
  <c r="ID76"/>
  <c r="IE76"/>
  <c r="IF76"/>
  <c r="IG76"/>
  <c r="IH76"/>
  <c r="II76"/>
  <c r="IJ76"/>
  <c r="IK76"/>
  <c r="IL76"/>
  <c r="IM76"/>
  <c r="IN76"/>
  <c r="IO76"/>
  <c r="IP76"/>
  <c r="IQ76"/>
  <c r="IR76"/>
  <c r="IS76"/>
  <c r="IT76"/>
  <c r="IU76"/>
  <c r="IV76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EH75"/>
  <c r="EI75"/>
  <c r="EJ75"/>
  <c r="EK75"/>
  <c r="EL75"/>
  <c r="EM75"/>
  <c r="EN75"/>
  <c r="EO75"/>
  <c r="EP75"/>
  <c r="EQ75"/>
  <c r="ER75"/>
  <c r="ES75"/>
  <c r="ET75"/>
  <c r="EU75"/>
  <c r="EV75"/>
  <c r="EW75"/>
  <c r="EX75"/>
  <c r="EY75"/>
  <c r="EZ75"/>
  <c r="FA75"/>
  <c r="FB75"/>
  <c r="FC75"/>
  <c r="FD75"/>
  <c r="FE75"/>
  <c r="FF75"/>
  <c r="FG75"/>
  <c r="FH75"/>
  <c r="FI75"/>
  <c r="FJ75"/>
  <c r="FK75"/>
  <c r="FL75"/>
  <c r="FM75"/>
  <c r="FN75"/>
  <c r="FO75"/>
  <c r="FP75"/>
  <c r="FQ75"/>
  <c r="FR75"/>
  <c r="FS75"/>
  <c r="FT75"/>
  <c r="FU75"/>
  <c r="FV75"/>
  <c r="FW75"/>
  <c r="FX75"/>
  <c r="FY75"/>
  <c r="FZ75"/>
  <c r="GA75"/>
  <c r="GB75"/>
  <c r="GC75"/>
  <c r="GD75"/>
  <c r="GE75"/>
  <c r="GF75"/>
  <c r="GG75"/>
  <c r="GH75"/>
  <c r="GI75"/>
  <c r="GJ75"/>
  <c r="GK75"/>
  <c r="GL75"/>
  <c r="GM75"/>
  <c r="GN75"/>
  <c r="GO75"/>
  <c r="GP75"/>
  <c r="GQ75"/>
  <c r="GR75"/>
  <c r="GS75"/>
  <c r="GT75"/>
  <c r="GU75"/>
  <c r="GV75"/>
  <c r="GW75"/>
  <c r="GX75"/>
  <c r="GY75"/>
  <c r="GZ75"/>
  <c r="HA75"/>
  <c r="HB75"/>
  <c r="HC75"/>
  <c r="HD75"/>
  <c r="HE75"/>
  <c r="HF75"/>
  <c r="HG75"/>
  <c r="HH75"/>
  <c r="HI75"/>
  <c r="HJ75"/>
  <c r="HK75"/>
  <c r="HL75"/>
  <c r="HM75"/>
  <c r="HN75"/>
  <c r="HO75"/>
  <c r="HP75"/>
  <c r="HQ75"/>
  <c r="HR75"/>
  <c r="HS75"/>
  <c r="HT75"/>
  <c r="HU75"/>
  <c r="HV75"/>
  <c r="HW75"/>
  <c r="HX75"/>
  <c r="HY75"/>
  <c r="HZ75"/>
  <c r="IA75"/>
  <c r="IB75"/>
  <c r="IC75"/>
  <c r="ID75"/>
  <c r="IE75"/>
  <c r="IF75"/>
  <c r="IG75"/>
  <c r="IH75"/>
  <c r="II75"/>
  <c r="IJ75"/>
  <c r="IK75"/>
  <c r="IL75"/>
  <c r="IM75"/>
  <c r="IN75"/>
  <c r="IO75"/>
  <c r="IP75"/>
  <c r="IQ75"/>
  <c r="IR75"/>
  <c r="IS75"/>
  <c r="IT75"/>
  <c r="IU75"/>
  <c r="IV75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GJ74"/>
  <c r="GK74"/>
  <c r="GL74"/>
  <c r="GM74"/>
  <c r="GN74"/>
  <c r="GO74"/>
  <c r="GP74"/>
  <c r="GQ74"/>
  <c r="GR74"/>
  <c r="GS74"/>
  <c r="GT74"/>
  <c r="GU74"/>
  <c r="GV74"/>
  <c r="GW74"/>
  <c r="GX74"/>
  <c r="GY74"/>
  <c r="GZ74"/>
  <c r="HA74"/>
  <c r="HB74"/>
  <c r="HC74"/>
  <c r="HD74"/>
  <c r="HE74"/>
  <c r="HF74"/>
  <c r="HG74"/>
  <c r="HH74"/>
  <c r="HI74"/>
  <c r="HJ74"/>
  <c r="HK74"/>
  <c r="HL74"/>
  <c r="HM74"/>
  <c r="HN74"/>
  <c r="HO74"/>
  <c r="HP74"/>
  <c r="HQ74"/>
  <c r="HR74"/>
  <c r="HS74"/>
  <c r="HT74"/>
  <c r="HU74"/>
  <c r="HV74"/>
  <c r="HW74"/>
  <c r="HX74"/>
  <c r="HY74"/>
  <c r="HZ74"/>
  <c r="IA74"/>
  <c r="IB74"/>
  <c r="IC74"/>
  <c r="ID74"/>
  <c r="IE74"/>
  <c r="IF74"/>
  <c r="IG74"/>
  <c r="IH74"/>
  <c r="II74"/>
  <c r="IJ74"/>
  <c r="IK74"/>
  <c r="IL74"/>
  <c r="IM74"/>
  <c r="IN74"/>
  <c r="IO74"/>
  <c r="IP74"/>
  <c r="IQ74"/>
  <c r="IR74"/>
  <c r="IS74"/>
  <c r="IT74"/>
  <c r="IU74"/>
  <c r="IV74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DZ73"/>
  <c r="EA73"/>
  <c r="EB73"/>
  <c r="EC73"/>
  <c r="ED73"/>
  <c r="EE73"/>
  <c r="EF73"/>
  <c r="EG73"/>
  <c r="EH73"/>
  <c r="EI73"/>
  <c r="EJ73"/>
  <c r="EK73"/>
  <c r="EL73"/>
  <c r="EM73"/>
  <c r="EN73"/>
  <c r="EO73"/>
  <c r="EP73"/>
  <c r="EQ73"/>
  <c r="ER73"/>
  <c r="ES73"/>
  <c r="ET73"/>
  <c r="EU73"/>
  <c r="EV73"/>
  <c r="EW73"/>
  <c r="EX73"/>
  <c r="EY73"/>
  <c r="EZ73"/>
  <c r="FA73"/>
  <c r="FB73"/>
  <c r="FC73"/>
  <c r="FD73"/>
  <c r="FE73"/>
  <c r="FF73"/>
  <c r="FG73"/>
  <c r="FH73"/>
  <c r="FI73"/>
  <c r="FJ73"/>
  <c r="FK73"/>
  <c r="FL73"/>
  <c r="FM73"/>
  <c r="FN73"/>
  <c r="FO73"/>
  <c r="FP73"/>
  <c r="FQ73"/>
  <c r="FR73"/>
  <c r="FS73"/>
  <c r="FT73"/>
  <c r="FU73"/>
  <c r="FV73"/>
  <c r="FW73"/>
  <c r="FX73"/>
  <c r="FY73"/>
  <c r="FZ73"/>
  <c r="GA73"/>
  <c r="GB73"/>
  <c r="GC73"/>
  <c r="GD73"/>
  <c r="GE73"/>
  <c r="GF73"/>
  <c r="GG73"/>
  <c r="GH73"/>
  <c r="GI73"/>
  <c r="GJ73"/>
  <c r="GK73"/>
  <c r="GL73"/>
  <c r="GM73"/>
  <c r="GN73"/>
  <c r="GO73"/>
  <c r="GP73"/>
  <c r="GQ73"/>
  <c r="GR73"/>
  <c r="GS73"/>
  <c r="GT73"/>
  <c r="GU73"/>
  <c r="GV73"/>
  <c r="GW73"/>
  <c r="GX73"/>
  <c r="GY73"/>
  <c r="GZ73"/>
  <c r="HA73"/>
  <c r="HB73"/>
  <c r="HC73"/>
  <c r="HD73"/>
  <c r="HE73"/>
  <c r="HF73"/>
  <c r="HG73"/>
  <c r="HH73"/>
  <c r="HI73"/>
  <c r="HJ73"/>
  <c r="HK73"/>
  <c r="HL73"/>
  <c r="HM73"/>
  <c r="HN73"/>
  <c r="HO73"/>
  <c r="HP73"/>
  <c r="HQ73"/>
  <c r="HR73"/>
  <c r="HS73"/>
  <c r="HT73"/>
  <c r="HU73"/>
  <c r="HV73"/>
  <c r="HW73"/>
  <c r="HX73"/>
  <c r="HY73"/>
  <c r="HZ73"/>
  <c r="IA73"/>
  <c r="IB73"/>
  <c r="IC73"/>
  <c r="ID73"/>
  <c r="IE73"/>
  <c r="IF73"/>
  <c r="IG73"/>
  <c r="IH73"/>
  <c r="II73"/>
  <c r="IJ73"/>
  <c r="IK73"/>
  <c r="IL73"/>
  <c r="IM73"/>
  <c r="IN73"/>
  <c r="IO73"/>
  <c r="IP73"/>
  <c r="IQ73"/>
  <c r="IR73"/>
  <c r="IS73"/>
  <c r="IT73"/>
  <c r="IU73"/>
  <c r="IV73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DQ72"/>
  <c r="DR72"/>
  <c r="DS72"/>
  <c r="DT72"/>
  <c r="DU72"/>
  <c r="DV72"/>
  <c r="DW72"/>
  <c r="DX72"/>
  <c r="DY72"/>
  <c r="DZ72"/>
  <c r="EA72"/>
  <c r="EB72"/>
  <c r="EC72"/>
  <c r="ED72"/>
  <c r="EE72"/>
  <c r="EF72"/>
  <c r="EG72"/>
  <c r="EH72"/>
  <c r="EI72"/>
  <c r="EJ72"/>
  <c r="EK72"/>
  <c r="EL72"/>
  <c r="EM72"/>
  <c r="EN72"/>
  <c r="EO72"/>
  <c r="EP72"/>
  <c r="EQ72"/>
  <c r="ER72"/>
  <c r="ES72"/>
  <c r="ET72"/>
  <c r="EU72"/>
  <c r="EV72"/>
  <c r="EW72"/>
  <c r="EX72"/>
  <c r="EY72"/>
  <c r="EZ72"/>
  <c r="FA72"/>
  <c r="FB72"/>
  <c r="FC72"/>
  <c r="FD72"/>
  <c r="FE72"/>
  <c r="FF72"/>
  <c r="FG72"/>
  <c r="FH72"/>
  <c r="FI72"/>
  <c r="FJ72"/>
  <c r="FK72"/>
  <c r="FL72"/>
  <c r="FM72"/>
  <c r="FN72"/>
  <c r="FO72"/>
  <c r="FP72"/>
  <c r="FQ72"/>
  <c r="FR72"/>
  <c r="FS72"/>
  <c r="FT72"/>
  <c r="FU72"/>
  <c r="FV72"/>
  <c r="FW72"/>
  <c r="FX72"/>
  <c r="FY72"/>
  <c r="FZ72"/>
  <c r="GA72"/>
  <c r="GB72"/>
  <c r="GC72"/>
  <c r="GD72"/>
  <c r="GE72"/>
  <c r="GF72"/>
  <c r="GG72"/>
  <c r="GH72"/>
  <c r="GI72"/>
  <c r="GJ72"/>
  <c r="GK72"/>
  <c r="GL72"/>
  <c r="GM72"/>
  <c r="GN72"/>
  <c r="GO72"/>
  <c r="GP72"/>
  <c r="GQ72"/>
  <c r="GR72"/>
  <c r="GS72"/>
  <c r="GT72"/>
  <c r="GU72"/>
  <c r="GV72"/>
  <c r="GW72"/>
  <c r="GX72"/>
  <c r="GY72"/>
  <c r="GZ72"/>
  <c r="HA72"/>
  <c r="HB72"/>
  <c r="HC72"/>
  <c r="HD72"/>
  <c r="HE72"/>
  <c r="HF72"/>
  <c r="HG72"/>
  <c r="HH72"/>
  <c r="HI72"/>
  <c r="HJ72"/>
  <c r="HK72"/>
  <c r="HL72"/>
  <c r="HM72"/>
  <c r="HN72"/>
  <c r="HO72"/>
  <c r="HP72"/>
  <c r="HQ72"/>
  <c r="HR72"/>
  <c r="HS72"/>
  <c r="HT72"/>
  <c r="HU72"/>
  <c r="HV72"/>
  <c r="HW72"/>
  <c r="HX72"/>
  <c r="HY72"/>
  <c r="HZ72"/>
  <c r="IA72"/>
  <c r="IB72"/>
  <c r="IC72"/>
  <c r="ID72"/>
  <c r="IE72"/>
  <c r="IF72"/>
  <c r="IG72"/>
  <c r="IH72"/>
  <c r="II72"/>
  <c r="IJ72"/>
  <c r="IK72"/>
  <c r="IL72"/>
  <c r="IM72"/>
  <c r="IN72"/>
  <c r="IO72"/>
  <c r="IP72"/>
  <c r="IQ72"/>
  <c r="IR72"/>
  <c r="IS72"/>
  <c r="IT72"/>
  <c r="IU72"/>
  <c r="IV72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Q71"/>
  <c r="ER71"/>
  <c r="ES71"/>
  <c r="ET71"/>
  <c r="EU71"/>
  <c r="EV71"/>
  <c r="EW71"/>
  <c r="EX71"/>
  <c r="EY71"/>
  <c r="EZ71"/>
  <c r="FA71"/>
  <c r="FB71"/>
  <c r="FC71"/>
  <c r="FD71"/>
  <c r="FE71"/>
  <c r="FF71"/>
  <c r="FG71"/>
  <c r="FH71"/>
  <c r="FI71"/>
  <c r="FJ71"/>
  <c r="FK71"/>
  <c r="FL71"/>
  <c r="FM71"/>
  <c r="FN71"/>
  <c r="FO71"/>
  <c r="FP71"/>
  <c r="FQ71"/>
  <c r="FR71"/>
  <c r="FS71"/>
  <c r="FT71"/>
  <c r="FU71"/>
  <c r="FV71"/>
  <c r="FW71"/>
  <c r="FX71"/>
  <c r="FY71"/>
  <c r="FZ71"/>
  <c r="GA71"/>
  <c r="GB71"/>
  <c r="GC71"/>
  <c r="GD71"/>
  <c r="GE71"/>
  <c r="GF71"/>
  <c r="GG71"/>
  <c r="GH71"/>
  <c r="GI71"/>
  <c r="GJ71"/>
  <c r="GK71"/>
  <c r="GL71"/>
  <c r="GM71"/>
  <c r="GN71"/>
  <c r="GO71"/>
  <c r="GP71"/>
  <c r="GQ71"/>
  <c r="GR71"/>
  <c r="GS71"/>
  <c r="GT71"/>
  <c r="GU71"/>
  <c r="GV71"/>
  <c r="GW71"/>
  <c r="GX71"/>
  <c r="GY71"/>
  <c r="GZ71"/>
  <c r="HA71"/>
  <c r="HB71"/>
  <c r="HC71"/>
  <c r="HD71"/>
  <c r="HE71"/>
  <c r="HF71"/>
  <c r="HG71"/>
  <c r="HH71"/>
  <c r="HI71"/>
  <c r="HJ71"/>
  <c r="HK71"/>
  <c r="HL71"/>
  <c r="HM71"/>
  <c r="HN71"/>
  <c r="HO71"/>
  <c r="HP71"/>
  <c r="HQ71"/>
  <c r="HR71"/>
  <c r="HS71"/>
  <c r="HT71"/>
  <c r="HU71"/>
  <c r="HV71"/>
  <c r="HW71"/>
  <c r="HX71"/>
  <c r="HY71"/>
  <c r="HZ71"/>
  <c r="IA71"/>
  <c r="IB71"/>
  <c r="IC71"/>
  <c r="ID71"/>
  <c r="IE71"/>
  <c r="IF71"/>
  <c r="IG71"/>
  <c r="IH71"/>
  <c r="II71"/>
  <c r="IJ71"/>
  <c r="IK71"/>
  <c r="IL71"/>
  <c r="IM71"/>
  <c r="IN71"/>
  <c r="IO71"/>
  <c r="IP71"/>
  <c r="IQ71"/>
  <c r="IR71"/>
  <c r="IS71"/>
  <c r="IT71"/>
  <c r="IU71"/>
  <c r="IV71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DZ70"/>
  <c r="EA70"/>
  <c r="EB70"/>
  <c r="EC70"/>
  <c r="ED70"/>
  <c r="EE70"/>
  <c r="EF70"/>
  <c r="EG70"/>
  <c r="EH70"/>
  <c r="EI70"/>
  <c r="EJ70"/>
  <c r="EK70"/>
  <c r="EL70"/>
  <c r="EM70"/>
  <c r="EN70"/>
  <c r="EO70"/>
  <c r="EP70"/>
  <c r="EQ70"/>
  <c r="ER70"/>
  <c r="ES70"/>
  <c r="ET70"/>
  <c r="EU70"/>
  <c r="EV70"/>
  <c r="EW70"/>
  <c r="EX70"/>
  <c r="EY70"/>
  <c r="EZ70"/>
  <c r="FA70"/>
  <c r="FB70"/>
  <c r="FC70"/>
  <c r="FD70"/>
  <c r="FE70"/>
  <c r="FF70"/>
  <c r="FG70"/>
  <c r="FH70"/>
  <c r="FI70"/>
  <c r="FJ70"/>
  <c r="FK70"/>
  <c r="FL70"/>
  <c r="FM70"/>
  <c r="FN70"/>
  <c r="FO70"/>
  <c r="FP70"/>
  <c r="FQ70"/>
  <c r="FR70"/>
  <c r="FS70"/>
  <c r="FT70"/>
  <c r="FU70"/>
  <c r="FV70"/>
  <c r="FW70"/>
  <c r="FX70"/>
  <c r="FY70"/>
  <c r="FZ70"/>
  <c r="GA70"/>
  <c r="GB70"/>
  <c r="GC70"/>
  <c r="GD70"/>
  <c r="GE70"/>
  <c r="GF70"/>
  <c r="GG70"/>
  <c r="GH70"/>
  <c r="GI70"/>
  <c r="GJ70"/>
  <c r="GK70"/>
  <c r="GL70"/>
  <c r="GM70"/>
  <c r="GN70"/>
  <c r="GO70"/>
  <c r="GP70"/>
  <c r="GQ70"/>
  <c r="GR70"/>
  <c r="GS70"/>
  <c r="GT70"/>
  <c r="GU70"/>
  <c r="GV70"/>
  <c r="GW70"/>
  <c r="GX70"/>
  <c r="GY70"/>
  <c r="GZ70"/>
  <c r="HA70"/>
  <c r="HB70"/>
  <c r="HC70"/>
  <c r="HD70"/>
  <c r="HE70"/>
  <c r="HF70"/>
  <c r="HG70"/>
  <c r="HH70"/>
  <c r="HI70"/>
  <c r="HJ70"/>
  <c r="HK70"/>
  <c r="HL70"/>
  <c r="HM70"/>
  <c r="HN70"/>
  <c r="HO70"/>
  <c r="HP70"/>
  <c r="HQ70"/>
  <c r="HR70"/>
  <c r="HS70"/>
  <c r="HT70"/>
  <c r="HU70"/>
  <c r="HV70"/>
  <c r="HW70"/>
  <c r="HX70"/>
  <c r="HY70"/>
  <c r="HZ70"/>
  <c r="IA70"/>
  <c r="IB70"/>
  <c r="IC70"/>
  <c r="ID70"/>
  <c r="IE70"/>
  <c r="IF70"/>
  <c r="IG70"/>
  <c r="IH70"/>
  <c r="II70"/>
  <c r="IJ70"/>
  <c r="IK70"/>
  <c r="IL70"/>
  <c r="IM70"/>
  <c r="IN70"/>
  <c r="IO70"/>
  <c r="IP70"/>
  <c r="IQ70"/>
  <c r="IR70"/>
  <c r="IS70"/>
  <c r="IT70"/>
  <c r="IU70"/>
  <c r="IV70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DZ69"/>
  <c r="EA69"/>
  <c r="EB69"/>
  <c r="EC69"/>
  <c r="ED69"/>
  <c r="EE69"/>
  <c r="EF69"/>
  <c r="EG69"/>
  <c r="EH69"/>
  <c r="EI69"/>
  <c r="EJ69"/>
  <c r="EK69"/>
  <c r="EL69"/>
  <c r="EM69"/>
  <c r="EN69"/>
  <c r="EO69"/>
  <c r="EP69"/>
  <c r="EQ69"/>
  <c r="ER69"/>
  <c r="ES69"/>
  <c r="ET69"/>
  <c r="EU69"/>
  <c r="EV69"/>
  <c r="EW69"/>
  <c r="EX69"/>
  <c r="EY69"/>
  <c r="EZ69"/>
  <c r="FA69"/>
  <c r="FB69"/>
  <c r="FC69"/>
  <c r="FD69"/>
  <c r="FE69"/>
  <c r="FF69"/>
  <c r="FG69"/>
  <c r="FH69"/>
  <c r="FI69"/>
  <c r="FJ69"/>
  <c r="FK69"/>
  <c r="FL69"/>
  <c r="FM69"/>
  <c r="FN69"/>
  <c r="FO69"/>
  <c r="FP69"/>
  <c r="FQ69"/>
  <c r="FR69"/>
  <c r="FS69"/>
  <c r="FT69"/>
  <c r="FU69"/>
  <c r="FV69"/>
  <c r="FW69"/>
  <c r="FX69"/>
  <c r="FY69"/>
  <c r="FZ69"/>
  <c r="GA69"/>
  <c r="GB69"/>
  <c r="GC69"/>
  <c r="GD69"/>
  <c r="GE69"/>
  <c r="GF69"/>
  <c r="GG69"/>
  <c r="GH69"/>
  <c r="GI69"/>
  <c r="GJ69"/>
  <c r="GK69"/>
  <c r="GL69"/>
  <c r="GM69"/>
  <c r="GN69"/>
  <c r="GO69"/>
  <c r="GP69"/>
  <c r="GQ69"/>
  <c r="GR69"/>
  <c r="GS69"/>
  <c r="GT69"/>
  <c r="GU69"/>
  <c r="GV69"/>
  <c r="GW69"/>
  <c r="GX69"/>
  <c r="GY69"/>
  <c r="GZ69"/>
  <c r="HA69"/>
  <c r="HB69"/>
  <c r="HC69"/>
  <c r="HD69"/>
  <c r="HE69"/>
  <c r="HF69"/>
  <c r="HG69"/>
  <c r="HH69"/>
  <c r="HI69"/>
  <c r="HJ69"/>
  <c r="HK69"/>
  <c r="HL69"/>
  <c r="HM69"/>
  <c r="HN69"/>
  <c r="HO69"/>
  <c r="HP69"/>
  <c r="HQ69"/>
  <c r="HR69"/>
  <c r="HS69"/>
  <c r="HT69"/>
  <c r="HU69"/>
  <c r="HV69"/>
  <c r="HW69"/>
  <c r="HX69"/>
  <c r="HY69"/>
  <c r="HZ69"/>
  <c r="IA69"/>
  <c r="IB69"/>
  <c r="IC69"/>
  <c r="ID69"/>
  <c r="IE69"/>
  <c r="IF69"/>
  <c r="IG69"/>
  <c r="IH69"/>
  <c r="II69"/>
  <c r="IJ69"/>
  <c r="IK69"/>
  <c r="IL69"/>
  <c r="IM69"/>
  <c r="IN69"/>
  <c r="IO69"/>
  <c r="IP69"/>
  <c r="IQ69"/>
  <c r="IR69"/>
  <c r="IS69"/>
  <c r="IT69"/>
  <c r="IU69"/>
  <c r="IV69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K68"/>
  <c r="EL68"/>
  <c r="EM68"/>
  <c r="EN68"/>
  <c r="EO68"/>
  <c r="EP68"/>
  <c r="EQ68"/>
  <c r="ER68"/>
  <c r="ES68"/>
  <c r="ET68"/>
  <c r="EU68"/>
  <c r="EV68"/>
  <c r="EW68"/>
  <c r="EX68"/>
  <c r="EY68"/>
  <c r="EZ68"/>
  <c r="FA68"/>
  <c r="FB68"/>
  <c r="FC68"/>
  <c r="FD68"/>
  <c r="FE68"/>
  <c r="FF68"/>
  <c r="FG68"/>
  <c r="FH68"/>
  <c r="FI68"/>
  <c r="FJ68"/>
  <c r="FK68"/>
  <c r="FL68"/>
  <c r="FM68"/>
  <c r="FN68"/>
  <c r="FO68"/>
  <c r="FP68"/>
  <c r="FQ68"/>
  <c r="FR68"/>
  <c r="FS68"/>
  <c r="FT68"/>
  <c r="FU68"/>
  <c r="FV68"/>
  <c r="FW68"/>
  <c r="FX68"/>
  <c r="FY68"/>
  <c r="FZ68"/>
  <c r="GA68"/>
  <c r="GB68"/>
  <c r="GC68"/>
  <c r="GD68"/>
  <c r="GE68"/>
  <c r="GF68"/>
  <c r="GG68"/>
  <c r="GH68"/>
  <c r="GI68"/>
  <c r="GJ68"/>
  <c r="GK68"/>
  <c r="GL68"/>
  <c r="GM68"/>
  <c r="GN68"/>
  <c r="GO68"/>
  <c r="GP68"/>
  <c r="GQ68"/>
  <c r="GR68"/>
  <c r="GS68"/>
  <c r="GT68"/>
  <c r="GU68"/>
  <c r="GV68"/>
  <c r="GW68"/>
  <c r="GX68"/>
  <c r="GY68"/>
  <c r="GZ68"/>
  <c r="HA68"/>
  <c r="HB68"/>
  <c r="HC68"/>
  <c r="HD68"/>
  <c r="HE68"/>
  <c r="HF68"/>
  <c r="HG68"/>
  <c r="HH68"/>
  <c r="HI68"/>
  <c r="HJ68"/>
  <c r="HK68"/>
  <c r="HL68"/>
  <c r="HM68"/>
  <c r="HN68"/>
  <c r="HO68"/>
  <c r="HP68"/>
  <c r="HQ68"/>
  <c r="HR68"/>
  <c r="HS68"/>
  <c r="HT68"/>
  <c r="HU68"/>
  <c r="HV68"/>
  <c r="HW68"/>
  <c r="HX68"/>
  <c r="HY68"/>
  <c r="HZ68"/>
  <c r="IA68"/>
  <c r="IB68"/>
  <c r="IC68"/>
  <c r="ID68"/>
  <c r="IE68"/>
  <c r="IF68"/>
  <c r="IG68"/>
  <c r="IH68"/>
  <c r="II68"/>
  <c r="IJ68"/>
  <c r="IK68"/>
  <c r="IL68"/>
  <c r="IM68"/>
  <c r="IN68"/>
  <c r="IO68"/>
  <c r="IP68"/>
  <c r="IQ68"/>
  <c r="IR68"/>
  <c r="IS68"/>
  <c r="IT68"/>
  <c r="IU68"/>
  <c r="IV68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I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FB67"/>
  <c r="FC67"/>
  <c r="FD67"/>
  <c r="FE67"/>
  <c r="FF67"/>
  <c r="FG67"/>
  <c r="FH67"/>
  <c r="FI67"/>
  <c r="FJ67"/>
  <c r="FK67"/>
  <c r="FL67"/>
  <c r="FM67"/>
  <c r="FN67"/>
  <c r="FO67"/>
  <c r="FP67"/>
  <c r="FQ67"/>
  <c r="FR67"/>
  <c r="FS67"/>
  <c r="FT67"/>
  <c r="FU67"/>
  <c r="FV67"/>
  <c r="FW67"/>
  <c r="FX67"/>
  <c r="FY67"/>
  <c r="FZ67"/>
  <c r="GA67"/>
  <c r="GB67"/>
  <c r="GC67"/>
  <c r="GD67"/>
  <c r="GE67"/>
  <c r="GF67"/>
  <c r="GG67"/>
  <c r="GH67"/>
  <c r="GI67"/>
  <c r="GJ67"/>
  <c r="GK67"/>
  <c r="GL67"/>
  <c r="GM67"/>
  <c r="GN67"/>
  <c r="GO67"/>
  <c r="GP67"/>
  <c r="GQ67"/>
  <c r="GR67"/>
  <c r="GS67"/>
  <c r="GT67"/>
  <c r="GU67"/>
  <c r="GV67"/>
  <c r="GW67"/>
  <c r="GX67"/>
  <c r="GY67"/>
  <c r="GZ67"/>
  <c r="HA67"/>
  <c r="HB67"/>
  <c r="HC67"/>
  <c r="HD67"/>
  <c r="HE67"/>
  <c r="HF67"/>
  <c r="HG67"/>
  <c r="HH67"/>
  <c r="HI67"/>
  <c r="HJ67"/>
  <c r="HK67"/>
  <c r="HL67"/>
  <c r="HM67"/>
  <c r="HN67"/>
  <c r="HO67"/>
  <c r="HP67"/>
  <c r="HQ67"/>
  <c r="HR67"/>
  <c r="HS67"/>
  <c r="HT67"/>
  <c r="HU67"/>
  <c r="HV67"/>
  <c r="HW67"/>
  <c r="HX67"/>
  <c r="HY67"/>
  <c r="HZ67"/>
  <c r="IA67"/>
  <c r="IB67"/>
  <c r="IC67"/>
  <c r="ID67"/>
  <c r="IE67"/>
  <c r="IF67"/>
  <c r="IG67"/>
  <c r="IH67"/>
  <c r="II67"/>
  <c r="IJ67"/>
  <c r="IK67"/>
  <c r="IL67"/>
  <c r="IM67"/>
  <c r="IN67"/>
  <c r="IO67"/>
  <c r="IP67"/>
  <c r="IQ67"/>
  <c r="IR67"/>
  <c r="IS67"/>
  <c r="IT67"/>
  <c r="IU67"/>
  <c r="IV67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EC66"/>
  <c r="ED66"/>
  <c r="EE66"/>
  <c r="EF66"/>
  <c r="EG66"/>
  <c r="EH66"/>
  <c r="EI66"/>
  <c r="EJ66"/>
  <c r="EK66"/>
  <c r="EL66"/>
  <c r="EM66"/>
  <c r="EN66"/>
  <c r="EO66"/>
  <c r="EP66"/>
  <c r="EQ66"/>
  <c r="ER66"/>
  <c r="ES66"/>
  <c r="ET66"/>
  <c r="EU66"/>
  <c r="EV66"/>
  <c r="EW66"/>
  <c r="EX66"/>
  <c r="EY66"/>
  <c r="EZ66"/>
  <c r="FA66"/>
  <c r="FB66"/>
  <c r="FC66"/>
  <c r="FD66"/>
  <c r="FE66"/>
  <c r="FF66"/>
  <c r="FG66"/>
  <c r="FH66"/>
  <c r="FI66"/>
  <c r="FJ66"/>
  <c r="FK66"/>
  <c r="FL66"/>
  <c r="FM66"/>
  <c r="FN66"/>
  <c r="FO66"/>
  <c r="FP66"/>
  <c r="FQ66"/>
  <c r="FR66"/>
  <c r="FS66"/>
  <c r="FT66"/>
  <c r="FU66"/>
  <c r="FV66"/>
  <c r="FW66"/>
  <c r="FX66"/>
  <c r="FY66"/>
  <c r="FZ66"/>
  <c r="GA66"/>
  <c r="GB66"/>
  <c r="GC66"/>
  <c r="GD66"/>
  <c r="GE66"/>
  <c r="GF66"/>
  <c r="GG66"/>
  <c r="GH66"/>
  <c r="GI66"/>
  <c r="GJ66"/>
  <c r="GK66"/>
  <c r="GL66"/>
  <c r="GM66"/>
  <c r="GN66"/>
  <c r="GO66"/>
  <c r="GP66"/>
  <c r="GQ66"/>
  <c r="GR66"/>
  <c r="GS66"/>
  <c r="GT66"/>
  <c r="GU66"/>
  <c r="GV66"/>
  <c r="GW66"/>
  <c r="GX66"/>
  <c r="GY66"/>
  <c r="GZ66"/>
  <c r="HA66"/>
  <c r="HB66"/>
  <c r="HC66"/>
  <c r="HD66"/>
  <c r="HE66"/>
  <c r="HF66"/>
  <c r="HG66"/>
  <c r="HH66"/>
  <c r="HI66"/>
  <c r="HJ66"/>
  <c r="HK66"/>
  <c r="HL66"/>
  <c r="HM66"/>
  <c r="HN66"/>
  <c r="HO66"/>
  <c r="HP66"/>
  <c r="HQ66"/>
  <c r="HR66"/>
  <c r="HS66"/>
  <c r="HT66"/>
  <c r="HU66"/>
  <c r="HV66"/>
  <c r="HW66"/>
  <c r="HX66"/>
  <c r="HY66"/>
  <c r="HZ66"/>
  <c r="IA66"/>
  <c r="IB66"/>
  <c r="IC66"/>
  <c r="ID66"/>
  <c r="IE66"/>
  <c r="IF66"/>
  <c r="IG66"/>
  <c r="IH66"/>
  <c r="II66"/>
  <c r="IJ66"/>
  <c r="IK66"/>
  <c r="IL66"/>
  <c r="IM66"/>
  <c r="IN66"/>
  <c r="IO66"/>
  <c r="IP66"/>
  <c r="IQ66"/>
  <c r="IR66"/>
  <c r="IS66"/>
  <c r="IT66"/>
  <c r="IU66"/>
  <c r="IV66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DZ65"/>
  <c r="EA65"/>
  <c r="EB65"/>
  <c r="EC65"/>
  <c r="ED65"/>
  <c r="EE65"/>
  <c r="EF65"/>
  <c r="EG65"/>
  <c r="EH65"/>
  <c r="EI65"/>
  <c r="EJ65"/>
  <c r="EK65"/>
  <c r="EL65"/>
  <c r="EM65"/>
  <c r="EN65"/>
  <c r="EO65"/>
  <c r="EP65"/>
  <c r="EQ65"/>
  <c r="ER65"/>
  <c r="ES65"/>
  <c r="ET65"/>
  <c r="EU65"/>
  <c r="EV65"/>
  <c r="EW65"/>
  <c r="EX65"/>
  <c r="EY65"/>
  <c r="EZ65"/>
  <c r="FA65"/>
  <c r="FB65"/>
  <c r="FC65"/>
  <c r="FD65"/>
  <c r="FE65"/>
  <c r="FF65"/>
  <c r="FG65"/>
  <c r="FH65"/>
  <c r="FI65"/>
  <c r="FJ65"/>
  <c r="FK65"/>
  <c r="FL65"/>
  <c r="FM65"/>
  <c r="FN65"/>
  <c r="FO65"/>
  <c r="FP65"/>
  <c r="FQ65"/>
  <c r="FR65"/>
  <c r="FS65"/>
  <c r="FT65"/>
  <c r="FU65"/>
  <c r="FV65"/>
  <c r="FW65"/>
  <c r="FX65"/>
  <c r="FY65"/>
  <c r="FZ65"/>
  <c r="GA65"/>
  <c r="GB65"/>
  <c r="GC65"/>
  <c r="GD65"/>
  <c r="GE65"/>
  <c r="GF65"/>
  <c r="GG65"/>
  <c r="GH65"/>
  <c r="GI65"/>
  <c r="GJ65"/>
  <c r="GK65"/>
  <c r="GL65"/>
  <c r="GM65"/>
  <c r="GN65"/>
  <c r="GO65"/>
  <c r="GP65"/>
  <c r="GQ65"/>
  <c r="GR65"/>
  <c r="GS65"/>
  <c r="GT65"/>
  <c r="GU65"/>
  <c r="GV65"/>
  <c r="GW65"/>
  <c r="GX65"/>
  <c r="GY65"/>
  <c r="GZ65"/>
  <c r="HA65"/>
  <c r="HB65"/>
  <c r="HC65"/>
  <c r="HD65"/>
  <c r="HE65"/>
  <c r="HF65"/>
  <c r="HG65"/>
  <c r="HH65"/>
  <c r="HI65"/>
  <c r="HJ65"/>
  <c r="HK65"/>
  <c r="HL65"/>
  <c r="HM65"/>
  <c r="HN65"/>
  <c r="HO65"/>
  <c r="HP65"/>
  <c r="HQ65"/>
  <c r="HR65"/>
  <c r="HS65"/>
  <c r="HT65"/>
  <c r="HU65"/>
  <c r="HV65"/>
  <c r="HW65"/>
  <c r="HX65"/>
  <c r="HY65"/>
  <c r="HZ65"/>
  <c r="IA65"/>
  <c r="IB65"/>
  <c r="IC65"/>
  <c r="ID65"/>
  <c r="IE65"/>
  <c r="IF65"/>
  <c r="IG65"/>
  <c r="IH65"/>
  <c r="II65"/>
  <c r="IJ65"/>
  <c r="IK65"/>
  <c r="IL65"/>
  <c r="IM65"/>
  <c r="IN65"/>
  <c r="IO65"/>
  <c r="IP65"/>
  <c r="IQ65"/>
  <c r="IR65"/>
  <c r="IS65"/>
  <c r="IT65"/>
  <c r="IU65"/>
  <c r="IV65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DZ64"/>
  <c r="EA64"/>
  <c r="EB64"/>
  <c r="EC64"/>
  <c r="ED64"/>
  <c r="EE64"/>
  <c r="EF64"/>
  <c r="EG64"/>
  <c r="EH64"/>
  <c r="EI64"/>
  <c r="EJ64"/>
  <c r="EK64"/>
  <c r="EL64"/>
  <c r="EM64"/>
  <c r="EN64"/>
  <c r="EO64"/>
  <c r="EP64"/>
  <c r="EQ64"/>
  <c r="ER64"/>
  <c r="ES64"/>
  <c r="ET64"/>
  <c r="EU64"/>
  <c r="EV64"/>
  <c r="EW64"/>
  <c r="EX64"/>
  <c r="EY64"/>
  <c r="EZ64"/>
  <c r="FA64"/>
  <c r="FB64"/>
  <c r="FC64"/>
  <c r="FD64"/>
  <c r="FE64"/>
  <c r="FF64"/>
  <c r="FG64"/>
  <c r="FH64"/>
  <c r="FI64"/>
  <c r="FJ64"/>
  <c r="FK64"/>
  <c r="FL64"/>
  <c r="FM64"/>
  <c r="FN64"/>
  <c r="FO64"/>
  <c r="FP64"/>
  <c r="FQ64"/>
  <c r="FR64"/>
  <c r="FS64"/>
  <c r="FT64"/>
  <c r="FU64"/>
  <c r="FV64"/>
  <c r="FW64"/>
  <c r="FX64"/>
  <c r="FY64"/>
  <c r="FZ64"/>
  <c r="GA64"/>
  <c r="GB64"/>
  <c r="GC64"/>
  <c r="GD64"/>
  <c r="GE64"/>
  <c r="GF64"/>
  <c r="GG64"/>
  <c r="GH64"/>
  <c r="GI64"/>
  <c r="GJ64"/>
  <c r="GK64"/>
  <c r="GL64"/>
  <c r="GM64"/>
  <c r="GN64"/>
  <c r="GO64"/>
  <c r="GP64"/>
  <c r="GQ64"/>
  <c r="GR64"/>
  <c r="GS64"/>
  <c r="GT64"/>
  <c r="GU64"/>
  <c r="GV64"/>
  <c r="GW64"/>
  <c r="GX64"/>
  <c r="GY64"/>
  <c r="GZ64"/>
  <c r="HA64"/>
  <c r="HB64"/>
  <c r="HC64"/>
  <c r="HD64"/>
  <c r="HE64"/>
  <c r="HF64"/>
  <c r="HG64"/>
  <c r="HH64"/>
  <c r="HI64"/>
  <c r="HJ64"/>
  <c r="HK64"/>
  <c r="HL64"/>
  <c r="HM64"/>
  <c r="HN64"/>
  <c r="HO64"/>
  <c r="HP64"/>
  <c r="HQ64"/>
  <c r="HR64"/>
  <c r="HS64"/>
  <c r="HT64"/>
  <c r="HU64"/>
  <c r="HV64"/>
  <c r="HW64"/>
  <c r="HX64"/>
  <c r="HY64"/>
  <c r="HZ64"/>
  <c r="IA64"/>
  <c r="IB64"/>
  <c r="IC64"/>
  <c r="ID64"/>
  <c r="IE64"/>
  <c r="IF64"/>
  <c r="IG64"/>
  <c r="IH64"/>
  <c r="II64"/>
  <c r="IJ64"/>
  <c r="IK64"/>
  <c r="IL64"/>
  <c r="IM64"/>
  <c r="IN64"/>
  <c r="IO64"/>
  <c r="IP64"/>
  <c r="IQ64"/>
  <c r="IR64"/>
  <c r="IS64"/>
  <c r="IT64"/>
  <c r="IU64"/>
  <c r="IV64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DZ63"/>
  <c r="EA63"/>
  <c r="EB63"/>
  <c r="EC63"/>
  <c r="ED63"/>
  <c r="EE63"/>
  <c r="EF63"/>
  <c r="EG63"/>
  <c r="EH63"/>
  <c r="EI63"/>
  <c r="EJ63"/>
  <c r="EK63"/>
  <c r="EL63"/>
  <c r="EM63"/>
  <c r="EN63"/>
  <c r="EO63"/>
  <c r="EP63"/>
  <c r="EQ63"/>
  <c r="ER63"/>
  <c r="ES63"/>
  <c r="ET63"/>
  <c r="EU63"/>
  <c r="EV63"/>
  <c r="EW63"/>
  <c r="EX63"/>
  <c r="EY63"/>
  <c r="EZ63"/>
  <c r="FA63"/>
  <c r="FB63"/>
  <c r="FC63"/>
  <c r="FD63"/>
  <c r="FE63"/>
  <c r="FF63"/>
  <c r="FG63"/>
  <c r="FH63"/>
  <c r="FI63"/>
  <c r="FJ63"/>
  <c r="FK63"/>
  <c r="FL63"/>
  <c r="FM63"/>
  <c r="FN63"/>
  <c r="FO63"/>
  <c r="FP63"/>
  <c r="FQ63"/>
  <c r="FR63"/>
  <c r="FS63"/>
  <c r="FT63"/>
  <c r="FU63"/>
  <c r="FV63"/>
  <c r="FW63"/>
  <c r="FX63"/>
  <c r="FY63"/>
  <c r="FZ63"/>
  <c r="GA63"/>
  <c r="GB63"/>
  <c r="GC63"/>
  <c r="GD63"/>
  <c r="GE63"/>
  <c r="GF63"/>
  <c r="GG63"/>
  <c r="GH63"/>
  <c r="GI63"/>
  <c r="GJ63"/>
  <c r="GK63"/>
  <c r="GL63"/>
  <c r="GM63"/>
  <c r="GN63"/>
  <c r="GO63"/>
  <c r="GP63"/>
  <c r="GQ63"/>
  <c r="GR63"/>
  <c r="GS63"/>
  <c r="GT63"/>
  <c r="GU63"/>
  <c r="GV63"/>
  <c r="GW63"/>
  <c r="GX63"/>
  <c r="GY63"/>
  <c r="GZ63"/>
  <c r="HA63"/>
  <c r="HB63"/>
  <c r="HC63"/>
  <c r="HD63"/>
  <c r="HE63"/>
  <c r="HF63"/>
  <c r="HG63"/>
  <c r="HH63"/>
  <c r="HI63"/>
  <c r="HJ63"/>
  <c r="HK63"/>
  <c r="HL63"/>
  <c r="HM63"/>
  <c r="HN63"/>
  <c r="HO63"/>
  <c r="HP63"/>
  <c r="HQ63"/>
  <c r="HR63"/>
  <c r="HS63"/>
  <c r="HT63"/>
  <c r="HU63"/>
  <c r="HV63"/>
  <c r="HW63"/>
  <c r="HX63"/>
  <c r="HY63"/>
  <c r="HZ63"/>
  <c r="IA63"/>
  <c r="IB63"/>
  <c r="IC63"/>
  <c r="ID63"/>
  <c r="IE63"/>
  <c r="IF63"/>
  <c r="IG63"/>
  <c r="IH63"/>
  <c r="II63"/>
  <c r="IJ63"/>
  <c r="IK63"/>
  <c r="IL63"/>
  <c r="IM63"/>
  <c r="IN63"/>
  <c r="IO63"/>
  <c r="IP63"/>
  <c r="IQ63"/>
  <c r="IR63"/>
  <c r="IS63"/>
  <c r="IT63"/>
  <c r="IU63"/>
  <c r="IV63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DZ62"/>
  <c r="EA62"/>
  <c r="EB62"/>
  <c r="EC62"/>
  <c r="ED62"/>
  <c r="EE62"/>
  <c r="EF62"/>
  <c r="EG62"/>
  <c r="EH62"/>
  <c r="EI62"/>
  <c r="EJ62"/>
  <c r="EK62"/>
  <c r="EL62"/>
  <c r="EM62"/>
  <c r="EN62"/>
  <c r="EO62"/>
  <c r="EP62"/>
  <c r="EQ62"/>
  <c r="ER62"/>
  <c r="ES62"/>
  <c r="ET62"/>
  <c r="EU62"/>
  <c r="EV62"/>
  <c r="EW62"/>
  <c r="EX62"/>
  <c r="EY62"/>
  <c r="EZ62"/>
  <c r="FA62"/>
  <c r="FB62"/>
  <c r="FC62"/>
  <c r="FD62"/>
  <c r="FE62"/>
  <c r="FF62"/>
  <c r="FG62"/>
  <c r="FH62"/>
  <c r="FI62"/>
  <c r="FJ62"/>
  <c r="FK62"/>
  <c r="FL62"/>
  <c r="FM62"/>
  <c r="FN62"/>
  <c r="FO62"/>
  <c r="FP62"/>
  <c r="FQ62"/>
  <c r="FR62"/>
  <c r="FS62"/>
  <c r="FT62"/>
  <c r="FU62"/>
  <c r="FV62"/>
  <c r="FW62"/>
  <c r="FX62"/>
  <c r="FY62"/>
  <c r="FZ62"/>
  <c r="GA62"/>
  <c r="GB62"/>
  <c r="GC62"/>
  <c r="GD62"/>
  <c r="GE62"/>
  <c r="GF62"/>
  <c r="GG62"/>
  <c r="GH62"/>
  <c r="GI62"/>
  <c r="GJ62"/>
  <c r="GK62"/>
  <c r="GL62"/>
  <c r="GM62"/>
  <c r="GN62"/>
  <c r="GO62"/>
  <c r="GP62"/>
  <c r="GQ62"/>
  <c r="GR62"/>
  <c r="GS62"/>
  <c r="GT62"/>
  <c r="GU62"/>
  <c r="GV62"/>
  <c r="GW62"/>
  <c r="GX62"/>
  <c r="GY62"/>
  <c r="GZ62"/>
  <c r="HA62"/>
  <c r="HB62"/>
  <c r="HC62"/>
  <c r="HD62"/>
  <c r="HE62"/>
  <c r="HF62"/>
  <c r="HG62"/>
  <c r="HH62"/>
  <c r="HI62"/>
  <c r="HJ62"/>
  <c r="HK62"/>
  <c r="HL62"/>
  <c r="HM62"/>
  <c r="HN62"/>
  <c r="HO62"/>
  <c r="HP62"/>
  <c r="HQ62"/>
  <c r="HR62"/>
  <c r="HS62"/>
  <c r="HT62"/>
  <c r="HU62"/>
  <c r="HV62"/>
  <c r="HW62"/>
  <c r="HX62"/>
  <c r="HY62"/>
  <c r="HZ62"/>
  <c r="IA62"/>
  <c r="IB62"/>
  <c r="IC62"/>
  <c r="ID62"/>
  <c r="IE62"/>
  <c r="IF62"/>
  <c r="IG62"/>
  <c r="IH62"/>
  <c r="II62"/>
  <c r="IJ62"/>
  <c r="IK62"/>
  <c r="IL62"/>
  <c r="IM62"/>
  <c r="IN62"/>
  <c r="IO62"/>
  <c r="IP62"/>
  <c r="IQ62"/>
  <c r="IR62"/>
  <c r="IS62"/>
  <c r="IT62"/>
  <c r="IU62"/>
  <c r="IV62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EH61"/>
  <c r="EI61"/>
  <c r="EJ61"/>
  <c r="EK61"/>
  <c r="EL61"/>
  <c r="EM61"/>
  <c r="EN61"/>
  <c r="EO61"/>
  <c r="EP61"/>
  <c r="EQ61"/>
  <c r="ER61"/>
  <c r="ES61"/>
  <c r="ET61"/>
  <c r="EU61"/>
  <c r="EV61"/>
  <c r="EW61"/>
  <c r="EX61"/>
  <c r="EY61"/>
  <c r="EZ61"/>
  <c r="FA61"/>
  <c r="FB61"/>
  <c r="FC61"/>
  <c r="FD61"/>
  <c r="FE61"/>
  <c r="FF61"/>
  <c r="FG61"/>
  <c r="FH61"/>
  <c r="FI61"/>
  <c r="FJ61"/>
  <c r="FK61"/>
  <c r="FL61"/>
  <c r="FM61"/>
  <c r="FN61"/>
  <c r="FO61"/>
  <c r="FP61"/>
  <c r="FQ61"/>
  <c r="FR61"/>
  <c r="FS61"/>
  <c r="FT61"/>
  <c r="FU61"/>
  <c r="FV61"/>
  <c r="FW61"/>
  <c r="FX61"/>
  <c r="FY61"/>
  <c r="FZ61"/>
  <c r="GA61"/>
  <c r="GB61"/>
  <c r="GC61"/>
  <c r="GD61"/>
  <c r="GE61"/>
  <c r="GF61"/>
  <c r="GG61"/>
  <c r="GH61"/>
  <c r="GI61"/>
  <c r="GJ61"/>
  <c r="GK61"/>
  <c r="GL61"/>
  <c r="GM61"/>
  <c r="GN61"/>
  <c r="GO61"/>
  <c r="GP61"/>
  <c r="GQ61"/>
  <c r="GR61"/>
  <c r="GS61"/>
  <c r="GT61"/>
  <c r="GU61"/>
  <c r="GV61"/>
  <c r="GW61"/>
  <c r="GX61"/>
  <c r="GY61"/>
  <c r="GZ61"/>
  <c r="HA61"/>
  <c r="HB61"/>
  <c r="HC61"/>
  <c r="HD61"/>
  <c r="HE61"/>
  <c r="HF61"/>
  <c r="HG61"/>
  <c r="HH61"/>
  <c r="HI61"/>
  <c r="HJ61"/>
  <c r="HK61"/>
  <c r="HL61"/>
  <c r="HM61"/>
  <c r="HN61"/>
  <c r="HO61"/>
  <c r="HP61"/>
  <c r="HQ61"/>
  <c r="HR61"/>
  <c r="HS61"/>
  <c r="HT61"/>
  <c r="HU61"/>
  <c r="HV61"/>
  <c r="HW61"/>
  <c r="HX61"/>
  <c r="HY61"/>
  <c r="HZ61"/>
  <c r="IA61"/>
  <c r="IB61"/>
  <c r="IC61"/>
  <c r="ID61"/>
  <c r="IE61"/>
  <c r="IF61"/>
  <c r="IG61"/>
  <c r="IH61"/>
  <c r="II61"/>
  <c r="IJ61"/>
  <c r="IK61"/>
  <c r="IL61"/>
  <c r="IM61"/>
  <c r="IN61"/>
  <c r="IO61"/>
  <c r="IP61"/>
  <c r="IQ61"/>
  <c r="IR61"/>
  <c r="IS61"/>
  <c r="IT61"/>
  <c r="IU61"/>
  <c r="IV61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FV60"/>
  <c r="FW60"/>
  <c r="FX60"/>
  <c r="FY60"/>
  <c r="FZ60"/>
  <c r="GA60"/>
  <c r="GB60"/>
  <c r="GC60"/>
  <c r="GD60"/>
  <c r="GE60"/>
  <c r="GF60"/>
  <c r="GG60"/>
  <c r="GH60"/>
  <c r="GI60"/>
  <c r="GJ60"/>
  <c r="GK60"/>
  <c r="GL60"/>
  <c r="GM60"/>
  <c r="GN60"/>
  <c r="GO60"/>
  <c r="GP60"/>
  <c r="GQ60"/>
  <c r="GR60"/>
  <c r="GS60"/>
  <c r="GT60"/>
  <c r="GU60"/>
  <c r="GV60"/>
  <c r="GW60"/>
  <c r="GX60"/>
  <c r="GY60"/>
  <c r="GZ60"/>
  <c r="HA60"/>
  <c r="HB60"/>
  <c r="HC60"/>
  <c r="HD60"/>
  <c r="HE60"/>
  <c r="HF60"/>
  <c r="HG60"/>
  <c r="HH60"/>
  <c r="HI60"/>
  <c r="HJ60"/>
  <c r="HK60"/>
  <c r="HL60"/>
  <c r="HM60"/>
  <c r="HN60"/>
  <c r="HO60"/>
  <c r="HP60"/>
  <c r="HQ60"/>
  <c r="HR60"/>
  <c r="HS60"/>
  <c r="HT60"/>
  <c r="HU60"/>
  <c r="HV60"/>
  <c r="HW60"/>
  <c r="HX60"/>
  <c r="HY60"/>
  <c r="HZ60"/>
  <c r="IA60"/>
  <c r="IB60"/>
  <c r="IC60"/>
  <c r="ID60"/>
  <c r="IE60"/>
  <c r="IF60"/>
  <c r="IG60"/>
  <c r="IH60"/>
  <c r="II60"/>
  <c r="IJ60"/>
  <c r="IK60"/>
  <c r="IL60"/>
  <c r="IM60"/>
  <c r="IN60"/>
  <c r="IO60"/>
  <c r="IP60"/>
  <c r="IQ60"/>
  <c r="IR60"/>
  <c r="IS60"/>
  <c r="IT60"/>
  <c r="IU60"/>
  <c r="IV60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FV59"/>
  <c r="FW59"/>
  <c r="FX59"/>
  <c r="FY59"/>
  <c r="FZ59"/>
  <c r="GA59"/>
  <c r="GB59"/>
  <c r="GC59"/>
  <c r="GD59"/>
  <c r="GE59"/>
  <c r="GF59"/>
  <c r="GG59"/>
  <c r="GH59"/>
  <c r="GI59"/>
  <c r="GJ59"/>
  <c r="GK59"/>
  <c r="GL59"/>
  <c r="GM59"/>
  <c r="GN59"/>
  <c r="GO59"/>
  <c r="GP59"/>
  <c r="GQ59"/>
  <c r="GR59"/>
  <c r="GS59"/>
  <c r="GT59"/>
  <c r="GU59"/>
  <c r="GV59"/>
  <c r="GW59"/>
  <c r="GX59"/>
  <c r="GY59"/>
  <c r="GZ59"/>
  <c r="HA59"/>
  <c r="HB59"/>
  <c r="HC59"/>
  <c r="HD59"/>
  <c r="HE59"/>
  <c r="HF59"/>
  <c r="HG59"/>
  <c r="HH59"/>
  <c r="HI59"/>
  <c r="HJ59"/>
  <c r="HK59"/>
  <c r="HL59"/>
  <c r="HM59"/>
  <c r="HN59"/>
  <c r="HO59"/>
  <c r="HP59"/>
  <c r="HQ59"/>
  <c r="HR59"/>
  <c r="HS59"/>
  <c r="HT59"/>
  <c r="HU59"/>
  <c r="HV59"/>
  <c r="HW59"/>
  <c r="HX59"/>
  <c r="HY59"/>
  <c r="HZ59"/>
  <c r="IA59"/>
  <c r="IB59"/>
  <c r="IC59"/>
  <c r="ID59"/>
  <c r="IE59"/>
  <c r="IF59"/>
  <c r="IG59"/>
  <c r="IH59"/>
  <c r="II59"/>
  <c r="IJ59"/>
  <c r="IK59"/>
  <c r="IL59"/>
  <c r="IM59"/>
  <c r="IN59"/>
  <c r="IO59"/>
  <c r="IP59"/>
  <c r="IQ59"/>
  <c r="IR59"/>
  <c r="IS59"/>
  <c r="IT59"/>
  <c r="IU59"/>
  <c r="IV59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IE58"/>
  <c r="IF58"/>
  <c r="IG58"/>
  <c r="IH58"/>
  <c r="II58"/>
  <c r="IJ58"/>
  <c r="IK58"/>
  <c r="IL58"/>
  <c r="IM58"/>
  <c r="IN58"/>
  <c r="IO58"/>
  <c r="IP58"/>
  <c r="IQ58"/>
  <c r="IR58"/>
  <c r="IS58"/>
  <c r="IT58"/>
  <c r="IU58"/>
  <c r="IV58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IE57"/>
  <c r="IF57"/>
  <c r="IG57"/>
  <c r="IH57"/>
  <c r="II57"/>
  <c r="IJ57"/>
  <c r="IK57"/>
  <c r="IL57"/>
  <c r="IM57"/>
  <c r="IN57"/>
  <c r="IO57"/>
  <c r="IP57"/>
  <c r="IQ57"/>
  <c r="IR57"/>
  <c r="IS57"/>
  <c r="IT57"/>
  <c r="IU57"/>
  <c r="IV57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FV56"/>
  <c r="FW56"/>
  <c r="FX56"/>
  <c r="FY56"/>
  <c r="FZ56"/>
  <c r="GA56"/>
  <c r="GB56"/>
  <c r="GC56"/>
  <c r="GD56"/>
  <c r="GE56"/>
  <c r="GF56"/>
  <c r="GG56"/>
  <c r="GH56"/>
  <c r="GI56"/>
  <c r="GJ56"/>
  <c r="GK56"/>
  <c r="GL56"/>
  <c r="GM56"/>
  <c r="GN56"/>
  <c r="GO56"/>
  <c r="GP56"/>
  <c r="GQ56"/>
  <c r="GR56"/>
  <c r="GS56"/>
  <c r="GT56"/>
  <c r="GU56"/>
  <c r="GV56"/>
  <c r="GW56"/>
  <c r="GX56"/>
  <c r="GY56"/>
  <c r="GZ56"/>
  <c r="HA56"/>
  <c r="HB56"/>
  <c r="HC56"/>
  <c r="HD56"/>
  <c r="HE56"/>
  <c r="HF56"/>
  <c r="HG56"/>
  <c r="HH56"/>
  <c r="HI56"/>
  <c r="HJ56"/>
  <c r="HK56"/>
  <c r="HL56"/>
  <c r="HM56"/>
  <c r="HN56"/>
  <c r="HO56"/>
  <c r="HP56"/>
  <c r="HQ56"/>
  <c r="HR56"/>
  <c r="HS56"/>
  <c r="HT56"/>
  <c r="HU56"/>
  <c r="HV56"/>
  <c r="HW56"/>
  <c r="HX56"/>
  <c r="HY56"/>
  <c r="HZ56"/>
  <c r="IA56"/>
  <c r="IB56"/>
  <c r="IC56"/>
  <c r="ID56"/>
  <c r="IE56"/>
  <c r="IF56"/>
  <c r="IG56"/>
  <c r="IH56"/>
  <c r="II56"/>
  <c r="IJ56"/>
  <c r="IK56"/>
  <c r="IL56"/>
  <c r="IM56"/>
  <c r="IN56"/>
  <c r="IO56"/>
  <c r="IP56"/>
  <c r="IQ56"/>
  <c r="IR56"/>
  <c r="IS56"/>
  <c r="IT56"/>
  <c r="IU56"/>
  <c r="IV56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GJ55"/>
  <c r="GK55"/>
  <c r="GL55"/>
  <c r="GM55"/>
  <c r="GN55"/>
  <c r="GO55"/>
  <c r="GP55"/>
  <c r="GQ55"/>
  <c r="GR55"/>
  <c r="GS55"/>
  <c r="GT55"/>
  <c r="GU55"/>
  <c r="GV55"/>
  <c r="GW55"/>
  <c r="GX55"/>
  <c r="GY55"/>
  <c r="GZ55"/>
  <c r="HA55"/>
  <c r="HB55"/>
  <c r="HC55"/>
  <c r="HD55"/>
  <c r="HE55"/>
  <c r="HF55"/>
  <c r="HG55"/>
  <c r="HH55"/>
  <c r="HI55"/>
  <c r="HJ55"/>
  <c r="HK55"/>
  <c r="HL55"/>
  <c r="HM55"/>
  <c r="HN55"/>
  <c r="HO55"/>
  <c r="HP55"/>
  <c r="HQ55"/>
  <c r="HR55"/>
  <c r="HS55"/>
  <c r="HT55"/>
  <c r="HU55"/>
  <c r="HV55"/>
  <c r="HW55"/>
  <c r="HX55"/>
  <c r="HY55"/>
  <c r="HZ55"/>
  <c r="IA55"/>
  <c r="IB55"/>
  <c r="IC55"/>
  <c r="ID55"/>
  <c r="IE55"/>
  <c r="IF55"/>
  <c r="IG55"/>
  <c r="IH55"/>
  <c r="II55"/>
  <c r="IJ55"/>
  <c r="IK55"/>
  <c r="IL55"/>
  <c r="IM55"/>
  <c r="IN55"/>
  <c r="IO55"/>
  <c r="IP55"/>
  <c r="IQ55"/>
  <c r="IR55"/>
  <c r="IS55"/>
  <c r="IT55"/>
  <c r="IU55"/>
  <c r="IV55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IE54"/>
  <c r="IF54"/>
  <c r="IG54"/>
  <c r="IH54"/>
  <c r="II54"/>
  <c r="IJ54"/>
  <c r="IK54"/>
  <c r="IL54"/>
  <c r="IM54"/>
  <c r="IN54"/>
  <c r="IO54"/>
  <c r="IP54"/>
  <c r="IQ54"/>
  <c r="IR54"/>
  <c r="IS54"/>
  <c r="IT54"/>
  <c r="IU54"/>
  <c r="IV54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V53"/>
  <c r="EW53"/>
  <c r="EX53"/>
  <c r="EY53"/>
  <c r="EZ53"/>
  <c r="FA53"/>
  <c r="FB53"/>
  <c r="FC53"/>
  <c r="FD53"/>
  <c r="FE53"/>
  <c r="FF53"/>
  <c r="FG53"/>
  <c r="FH53"/>
  <c r="FI53"/>
  <c r="FJ53"/>
  <c r="FK53"/>
  <c r="FL53"/>
  <c r="FM53"/>
  <c r="FN53"/>
  <c r="FO53"/>
  <c r="FP53"/>
  <c r="FQ53"/>
  <c r="FR53"/>
  <c r="FS53"/>
  <c r="FT53"/>
  <c r="FU53"/>
  <c r="FV53"/>
  <c r="FW53"/>
  <c r="FX53"/>
  <c r="FY53"/>
  <c r="FZ53"/>
  <c r="GA53"/>
  <c r="GB53"/>
  <c r="GC53"/>
  <c r="GD53"/>
  <c r="GE53"/>
  <c r="GF53"/>
  <c r="GG53"/>
  <c r="GH53"/>
  <c r="GI53"/>
  <c r="GJ53"/>
  <c r="GK53"/>
  <c r="GL53"/>
  <c r="GM53"/>
  <c r="GN53"/>
  <c r="GO53"/>
  <c r="GP53"/>
  <c r="GQ53"/>
  <c r="GR53"/>
  <c r="GS53"/>
  <c r="GT53"/>
  <c r="GU53"/>
  <c r="GV53"/>
  <c r="GW53"/>
  <c r="GX53"/>
  <c r="GY53"/>
  <c r="GZ53"/>
  <c r="HA53"/>
  <c r="HB53"/>
  <c r="HC53"/>
  <c r="HD53"/>
  <c r="HE53"/>
  <c r="HF53"/>
  <c r="HG53"/>
  <c r="HH53"/>
  <c r="HI53"/>
  <c r="HJ53"/>
  <c r="HK53"/>
  <c r="HL53"/>
  <c r="HM53"/>
  <c r="HN53"/>
  <c r="HO53"/>
  <c r="HP53"/>
  <c r="HQ53"/>
  <c r="HR53"/>
  <c r="HS53"/>
  <c r="HT53"/>
  <c r="HU53"/>
  <c r="HV53"/>
  <c r="HW53"/>
  <c r="HX53"/>
  <c r="HY53"/>
  <c r="HZ53"/>
  <c r="IA53"/>
  <c r="IB53"/>
  <c r="IC53"/>
  <c r="ID53"/>
  <c r="IE53"/>
  <c r="IF53"/>
  <c r="IG53"/>
  <c r="IH53"/>
  <c r="II53"/>
  <c r="IJ53"/>
  <c r="IK53"/>
  <c r="IL53"/>
  <c r="IM53"/>
  <c r="IN53"/>
  <c r="IO53"/>
  <c r="IP53"/>
  <c r="IQ53"/>
  <c r="IR53"/>
  <c r="IS53"/>
  <c r="IT53"/>
  <c r="IU53"/>
  <c r="IV53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GJ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IE52"/>
  <c r="IF52"/>
  <c r="IG52"/>
  <c r="IH52"/>
  <c r="II52"/>
  <c r="IJ52"/>
  <c r="IK52"/>
  <c r="IL52"/>
  <c r="IM52"/>
  <c r="IN52"/>
  <c r="IO52"/>
  <c r="IP52"/>
  <c r="IQ52"/>
  <c r="IR52"/>
  <c r="IS52"/>
  <c r="IT52"/>
  <c r="IU52"/>
  <c r="IV52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IE51"/>
  <c r="IF51"/>
  <c r="IG51"/>
  <c r="IH51"/>
  <c r="II51"/>
  <c r="IJ51"/>
  <c r="IK51"/>
  <c r="IL51"/>
  <c r="IM51"/>
  <c r="IN51"/>
  <c r="IO51"/>
  <c r="IP51"/>
  <c r="IQ51"/>
  <c r="IR51"/>
  <c r="IS51"/>
  <c r="IT51"/>
  <c r="IU51"/>
  <c r="IV51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V50"/>
  <c r="EW50"/>
  <c r="EX50"/>
  <c r="EY50"/>
  <c r="EZ50"/>
  <c r="FA50"/>
  <c r="FB50"/>
  <c r="FC50"/>
  <c r="FD50"/>
  <c r="FE50"/>
  <c r="FF50"/>
  <c r="FG50"/>
  <c r="FH50"/>
  <c r="FI50"/>
  <c r="FJ50"/>
  <c r="FK50"/>
  <c r="FL50"/>
  <c r="FM50"/>
  <c r="FN50"/>
  <c r="FO50"/>
  <c r="FP50"/>
  <c r="FQ50"/>
  <c r="FR50"/>
  <c r="FS50"/>
  <c r="FT50"/>
  <c r="FU50"/>
  <c r="FV50"/>
  <c r="FW50"/>
  <c r="FX50"/>
  <c r="FY50"/>
  <c r="FZ50"/>
  <c r="GA50"/>
  <c r="GB50"/>
  <c r="GC50"/>
  <c r="GD50"/>
  <c r="GE50"/>
  <c r="GF50"/>
  <c r="GG50"/>
  <c r="GH50"/>
  <c r="GI50"/>
  <c r="GJ50"/>
  <c r="GK50"/>
  <c r="GL50"/>
  <c r="GM50"/>
  <c r="GN50"/>
  <c r="GO50"/>
  <c r="GP50"/>
  <c r="GQ50"/>
  <c r="GR50"/>
  <c r="GS50"/>
  <c r="GT50"/>
  <c r="GU50"/>
  <c r="GV50"/>
  <c r="GW50"/>
  <c r="GX50"/>
  <c r="GY50"/>
  <c r="GZ50"/>
  <c r="HA50"/>
  <c r="HB50"/>
  <c r="HC50"/>
  <c r="HD50"/>
  <c r="HE50"/>
  <c r="HF50"/>
  <c r="HG50"/>
  <c r="HH50"/>
  <c r="HI50"/>
  <c r="HJ50"/>
  <c r="HK50"/>
  <c r="HL50"/>
  <c r="HM50"/>
  <c r="HN50"/>
  <c r="HO50"/>
  <c r="HP50"/>
  <c r="HQ50"/>
  <c r="HR50"/>
  <c r="HS50"/>
  <c r="HT50"/>
  <c r="HU50"/>
  <c r="HV50"/>
  <c r="HW50"/>
  <c r="HX50"/>
  <c r="HY50"/>
  <c r="HZ50"/>
  <c r="IA50"/>
  <c r="IB50"/>
  <c r="IC50"/>
  <c r="ID50"/>
  <c r="IE50"/>
  <c r="IF50"/>
  <c r="IG50"/>
  <c r="IH50"/>
  <c r="II50"/>
  <c r="IJ50"/>
  <c r="IK50"/>
  <c r="IL50"/>
  <c r="IM50"/>
  <c r="IN50"/>
  <c r="IO50"/>
  <c r="IP50"/>
  <c r="IQ50"/>
  <c r="IR50"/>
  <c r="IS50"/>
  <c r="IT50"/>
  <c r="IU50"/>
  <c r="IV50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GJ49"/>
  <c r="GK49"/>
  <c r="GL49"/>
  <c r="GM49"/>
  <c r="GN49"/>
  <c r="GO49"/>
  <c r="GP49"/>
  <c r="GQ49"/>
  <c r="GR49"/>
  <c r="GS49"/>
  <c r="GT49"/>
  <c r="GU49"/>
  <c r="GV49"/>
  <c r="GW49"/>
  <c r="GX49"/>
  <c r="GY49"/>
  <c r="GZ49"/>
  <c r="HA49"/>
  <c r="HB49"/>
  <c r="HC49"/>
  <c r="HD49"/>
  <c r="HE49"/>
  <c r="HF49"/>
  <c r="HG49"/>
  <c r="HH49"/>
  <c r="HI49"/>
  <c r="HJ49"/>
  <c r="HK49"/>
  <c r="HL49"/>
  <c r="HM49"/>
  <c r="HN49"/>
  <c r="HO49"/>
  <c r="HP49"/>
  <c r="HQ49"/>
  <c r="HR49"/>
  <c r="HS49"/>
  <c r="HT49"/>
  <c r="HU49"/>
  <c r="HV49"/>
  <c r="HW49"/>
  <c r="HX49"/>
  <c r="HY49"/>
  <c r="HZ49"/>
  <c r="IA49"/>
  <c r="IB49"/>
  <c r="IC49"/>
  <c r="ID49"/>
  <c r="IE49"/>
  <c r="IF49"/>
  <c r="IG49"/>
  <c r="IH49"/>
  <c r="II49"/>
  <c r="IJ49"/>
  <c r="IK49"/>
  <c r="IL49"/>
  <c r="IM49"/>
  <c r="IN49"/>
  <c r="IO49"/>
  <c r="IP49"/>
  <c r="IQ49"/>
  <c r="IR49"/>
  <c r="IS49"/>
  <c r="IT49"/>
  <c r="IU49"/>
  <c r="IV49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GJ48"/>
  <c r="GK48"/>
  <c r="GL48"/>
  <c r="GM48"/>
  <c r="GN48"/>
  <c r="GO48"/>
  <c r="GP48"/>
  <c r="GQ48"/>
  <c r="GR48"/>
  <c r="GS48"/>
  <c r="GT48"/>
  <c r="GU48"/>
  <c r="GV48"/>
  <c r="GW48"/>
  <c r="GX48"/>
  <c r="GY48"/>
  <c r="GZ48"/>
  <c r="HA48"/>
  <c r="HB48"/>
  <c r="HC48"/>
  <c r="HD48"/>
  <c r="HE48"/>
  <c r="HF48"/>
  <c r="HG48"/>
  <c r="HH48"/>
  <c r="HI48"/>
  <c r="HJ48"/>
  <c r="HK48"/>
  <c r="HL48"/>
  <c r="HM48"/>
  <c r="HN48"/>
  <c r="HO48"/>
  <c r="HP48"/>
  <c r="HQ48"/>
  <c r="HR48"/>
  <c r="HS48"/>
  <c r="HT48"/>
  <c r="HU48"/>
  <c r="HV48"/>
  <c r="HW48"/>
  <c r="HX48"/>
  <c r="HY48"/>
  <c r="HZ48"/>
  <c r="IA48"/>
  <c r="IB48"/>
  <c r="IC48"/>
  <c r="ID48"/>
  <c r="IE48"/>
  <c r="IF48"/>
  <c r="IG48"/>
  <c r="IH48"/>
  <c r="II48"/>
  <c r="IJ48"/>
  <c r="IK48"/>
  <c r="IL48"/>
  <c r="IM48"/>
  <c r="IN48"/>
  <c r="IO48"/>
  <c r="IP48"/>
  <c r="IQ48"/>
  <c r="IR48"/>
  <c r="IS48"/>
  <c r="IT48"/>
  <c r="IU48"/>
  <c r="IV48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V47"/>
  <c r="EW47"/>
  <c r="EX47"/>
  <c r="EY47"/>
  <c r="EZ47"/>
  <c r="FA47"/>
  <c r="FB47"/>
  <c r="FC47"/>
  <c r="FD47"/>
  <c r="FE47"/>
  <c r="FF47"/>
  <c r="FG47"/>
  <c r="FH47"/>
  <c r="FI47"/>
  <c r="FJ47"/>
  <c r="FK47"/>
  <c r="FL47"/>
  <c r="FM47"/>
  <c r="FN47"/>
  <c r="FO47"/>
  <c r="FP47"/>
  <c r="FQ47"/>
  <c r="FR47"/>
  <c r="FS47"/>
  <c r="FT47"/>
  <c r="FU47"/>
  <c r="FV47"/>
  <c r="FW47"/>
  <c r="FX47"/>
  <c r="FY47"/>
  <c r="FZ47"/>
  <c r="GA47"/>
  <c r="GB47"/>
  <c r="GC47"/>
  <c r="GD47"/>
  <c r="GE47"/>
  <c r="GF47"/>
  <c r="GG47"/>
  <c r="GH47"/>
  <c r="GI47"/>
  <c r="GJ47"/>
  <c r="GK47"/>
  <c r="GL47"/>
  <c r="GM47"/>
  <c r="GN47"/>
  <c r="GO47"/>
  <c r="GP47"/>
  <c r="GQ47"/>
  <c r="GR47"/>
  <c r="GS47"/>
  <c r="GT47"/>
  <c r="GU47"/>
  <c r="GV47"/>
  <c r="GW47"/>
  <c r="GX47"/>
  <c r="GY47"/>
  <c r="GZ47"/>
  <c r="HA47"/>
  <c r="HB47"/>
  <c r="HC47"/>
  <c r="HD47"/>
  <c r="HE47"/>
  <c r="HF47"/>
  <c r="HG47"/>
  <c r="HH47"/>
  <c r="HI47"/>
  <c r="HJ47"/>
  <c r="HK47"/>
  <c r="HL47"/>
  <c r="HM47"/>
  <c r="HN47"/>
  <c r="HO47"/>
  <c r="HP47"/>
  <c r="HQ47"/>
  <c r="HR47"/>
  <c r="HS47"/>
  <c r="HT47"/>
  <c r="HU47"/>
  <c r="HV47"/>
  <c r="HW47"/>
  <c r="HX47"/>
  <c r="HY47"/>
  <c r="HZ47"/>
  <c r="IA47"/>
  <c r="IB47"/>
  <c r="IC47"/>
  <c r="ID47"/>
  <c r="IE47"/>
  <c r="IF47"/>
  <c r="IG47"/>
  <c r="IH47"/>
  <c r="II47"/>
  <c r="IJ47"/>
  <c r="IK47"/>
  <c r="IL47"/>
  <c r="IM47"/>
  <c r="IN47"/>
  <c r="IO47"/>
  <c r="IP47"/>
  <c r="IQ47"/>
  <c r="IR47"/>
  <c r="IS47"/>
  <c r="IT47"/>
  <c r="IU47"/>
  <c r="IV47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DZ46"/>
  <c r="EA46"/>
  <c r="EB46"/>
  <c r="EC46"/>
  <c r="ED46"/>
  <c r="EE46"/>
  <c r="EF46"/>
  <c r="EG46"/>
  <c r="EH46"/>
  <c r="EI46"/>
  <c r="EJ46"/>
  <c r="EK46"/>
  <c r="EL46"/>
  <c r="EM46"/>
  <c r="EN46"/>
  <c r="EO46"/>
  <c r="EP46"/>
  <c r="EQ46"/>
  <c r="ER46"/>
  <c r="ES46"/>
  <c r="ET46"/>
  <c r="EU46"/>
  <c r="EV46"/>
  <c r="EW46"/>
  <c r="EX46"/>
  <c r="EY46"/>
  <c r="EZ46"/>
  <c r="FA46"/>
  <c r="FB46"/>
  <c r="FC46"/>
  <c r="FD46"/>
  <c r="FE46"/>
  <c r="FF46"/>
  <c r="FG46"/>
  <c r="FH46"/>
  <c r="FI46"/>
  <c r="FJ46"/>
  <c r="FK46"/>
  <c r="FL46"/>
  <c r="FM46"/>
  <c r="FN46"/>
  <c r="FO46"/>
  <c r="FP46"/>
  <c r="FQ46"/>
  <c r="FR46"/>
  <c r="FS46"/>
  <c r="FT46"/>
  <c r="FU46"/>
  <c r="FV46"/>
  <c r="FW46"/>
  <c r="FX46"/>
  <c r="FY46"/>
  <c r="FZ46"/>
  <c r="GA46"/>
  <c r="GB46"/>
  <c r="GC46"/>
  <c r="GD46"/>
  <c r="GE46"/>
  <c r="GF46"/>
  <c r="GG46"/>
  <c r="GH46"/>
  <c r="GI46"/>
  <c r="GJ46"/>
  <c r="GK46"/>
  <c r="GL46"/>
  <c r="GM46"/>
  <c r="GN46"/>
  <c r="GO46"/>
  <c r="GP46"/>
  <c r="GQ46"/>
  <c r="GR46"/>
  <c r="GS46"/>
  <c r="GT46"/>
  <c r="GU46"/>
  <c r="GV46"/>
  <c r="GW46"/>
  <c r="GX46"/>
  <c r="GY46"/>
  <c r="GZ46"/>
  <c r="HA46"/>
  <c r="HB46"/>
  <c r="HC46"/>
  <c r="HD46"/>
  <c r="HE46"/>
  <c r="HF46"/>
  <c r="HG46"/>
  <c r="HH46"/>
  <c r="HI46"/>
  <c r="HJ46"/>
  <c r="HK46"/>
  <c r="HL46"/>
  <c r="HM46"/>
  <c r="HN46"/>
  <c r="HO46"/>
  <c r="HP46"/>
  <c r="HQ46"/>
  <c r="HR46"/>
  <c r="HS46"/>
  <c r="HT46"/>
  <c r="HU46"/>
  <c r="HV46"/>
  <c r="HW46"/>
  <c r="HX46"/>
  <c r="HY46"/>
  <c r="HZ46"/>
  <c r="IA46"/>
  <c r="IB46"/>
  <c r="IC46"/>
  <c r="ID46"/>
  <c r="IE46"/>
  <c r="IF46"/>
  <c r="IG46"/>
  <c r="IH46"/>
  <c r="II46"/>
  <c r="IJ46"/>
  <c r="IK46"/>
  <c r="IL46"/>
  <c r="IM46"/>
  <c r="IN46"/>
  <c r="IO46"/>
  <c r="IP46"/>
  <c r="IQ46"/>
  <c r="IR46"/>
  <c r="IS46"/>
  <c r="IT46"/>
  <c r="IU46"/>
  <c r="IV46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EQ45"/>
  <c r="ER45"/>
  <c r="ES45"/>
  <c r="ET45"/>
  <c r="EU45"/>
  <c r="EV45"/>
  <c r="EW45"/>
  <c r="EX45"/>
  <c r="EY45"/>
  <c r="EZ45"/>
  <c r="FA45"/>
  <c r="FB45"/>
  <c r="FC45"/>
  <c r="FD45"/>
  <c r="FE45"/>
  <c r="FF45"/>
  <c r="FG45"/>
  <c r="FH45"/>
  <c r="FI45"/>
  <c r="FJ45"/>
  <c r="FK45"/>
  <c r="FL45"/>
  <c r="FM45"/>
  <c r="FN45"/>
  <c r="FO45"/>
  <c r="FP45"/>
  <c r="FQ45"/>
  <c r="FR45"/>
  <c r="FS45"/>
  <c r="FT45"/>
  <c r="FU45"/>
  <c r="FV45"/>
  <c r="FW45"/>
  <c r="FX45"/>
  <c r="FY45"/>
  <c r="FZ45"/>
  <c r="GA45"/>
  <c r="GB45"/>
  <c r="GC45"/>
  <c r="GD45"/>
  <c r="GE45"/>
  <c r="GF45"/>
  <c r="GG45"/>
  <c r="GH45"/>
  <c r="GI45"/>
  <c r="GJ45"/>
  <c r="GK45"/>
  <c r="GL45"/>
  <c r="GM45"/>
  <c r="GN45"/>
  <c r="GO45"/>
  <c r="GP45"/>
  <c r="GQ45"/>
  <c r="GR45"/>
  <c r="GS45"/>
  <c r="GT45"/>
  <c r="GU45"/>
  <c r="GV45"/>
  <c r="GW45"/>
  <c r="GX45"/>
  <c r="GY45"/>
  <c r="GZ45"/>
  <c r="HA45"/>
  <c r="HB45"/>
  <c r="HC45"/>
  <c r="HD45"/>
  <c r="HE45"/>
  <c r="HF45"/>
  <c r="HG45"/>
  <c r="HH45"/>
  <c r="HI45"/>
  <c r="HJ45"/>
  <c r="HK45"/>
  <c r="HL45"/>
  <c r="HM45"/>
  <c r="HN45"/>
  <c r="HO45"/>
  <c r="HP45"/>
  <c r="HQ45"/>
  <c r="HR45"/>
  <c r="HS45"/>
  <c r="HT45"/>
  <c r="HU45"/>
  <c r="HV45"/>
  <c r="HW45"/>
  <c r="HX45"/>
  <c r="HY45"/>
  <c r="HZ45"/>
  <c r="IA45"/>
  <c r="IB45"/>
  <c r="IC45"/>
  <c r="ID45"/>
  <c r="IE45"/>
  <c r="IF45"/>
  <c r="IG45"/>
  <c r="IH45"/>
  <c r="II45"/>
  <c r="IJ45"/>
  <c r="IK45"/>
  <c r="IL45"/>
  <c r="IM45"/>
  <c r="IN45"/>
  <c r="IO45"/>
  <c r="IP45"/>
  <c r="IQ45"/>
  <c r="IR45"/>
  <c r="IS45"/>
  <c r="IT45"/>
  <c r="IU45"/>
  <c r="IV45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EH44"/>
  <c r="EI44"/>
  <c r="EJ44"/>
  <c r="EK44"/>
  <c r="EL44"/>
  <c r="EM44"/>
  <c r="EN44"/>
  <c r="EO44"/>
  <c r="EP44"/>
  <c r="EQ44"/>
  <c r="ER44"/>
  <c r="ES44"/>
  <c r="ET44"/>
  <c r="EU44"/>
  <c r="EV44"/>
  <c r="EW44"/>
  <c r="EX44"/>
  <c r="EY44"/>
  <c r="EZ44"/>
  <c r="FA44"/>
  <c r="FB44"/>
  <c r="FC44"/>
  <c r="FD44"/>
  <c r="FE44"/>
  <c r="FF44"/>
  <c r="FG44"/>
  <c r="FH44"/>
  <c r="FI44"/>
  <c r="FJ44"/>
  <c r="FK44"/>
  <c r="FL44"/>
  <c r="FM44"/>
  <c r="FN44"/>
  <c r="FO44"/>
  <c r="FP44"/>
  <c r="FQ44"/>
  <c r="FR44"/>
  <c r="FS44"/>
  <c r="FT44"/>
  <c r="FU44"/>
  <c r="FV44"/>
  <c r="FW44"/>
  <c r="FX44"/>
  <c r="FY44"/>
  <c r="FZ44"/>
  <c r="GA44"/>
  <c r="GB44"/>
  <c r="GC44"/>
  <c r="GD44"/>
  <c r="GE44"/>
  <c r="GF44"/>
  <c r="GG44"/>
  <c r="GH44"/>
  <c r="GI44"/>
  <c r="GJ44"/>
  <c r="GK44"/>
  <c r="GL44"/>
  <c r="GM44"/>
  <c r="GN44"/>
  <c r="GO44"/>
  <c r="GP44"/>
  <c r="GQ44"/>
  <c r="GR44"/>
  <c r="GS44"/>
  <c r="GT44"/>
  <c r="GU44"/>
  <c r="GV44"/>
  <c r="GW44"/>
  <c r="GX44"/>
  <c r="GY44"/>
  <c r="GZ44"/>
  <c r="HA44"/>
  <c r="HB44"/>
  <c r="HC44"/>
  <c r="HD44"/>
  <c r="HE44"/>
  <c r="HF44"/>
  <c r="HG44"/>
  <c r="HH44"/>
  <c r="HI44"/>
  <c r="HJ44"/>
  <c r="HK44"/>
  <c r="HL44"/>
  <c r="HM44"/>
  <c r="HN44"/>
  <c r="HO44"/>
  <c r="HP44"/>
  <c r="HQ44"/>
  <c r="HR44"/>
  <c r="HS44"/>
  <c r="HT44"/>
  <c r="HU44"/>
  <c r="HV44"/>
  <c r="HW44"/>
  <c r="HX44"/>
  <c r="HY44"/>
  <c r="HZ44"/>
  <c r="IA44"/>
  <c r="IB44"/>
  <c r="IC44"/>
  <c r="ID44"/>
  <c r="IE44"/>
  <c r="IF44"/>
  <c r="IG44"/>
  <c r="IH44"/>
  <c r="II44"/>
  <c r="IJ44"/>
  <c r="IK44"/>
  <c r="IL44"/>
  <c r="IM44"/>
  <c r="IN44"/>
  <c r="IO44"/>
  <c r="IP44"/>
  <c r="IQ44"/>
  <c r="IR44"/>
  <c r="IS44"/>
  <c r="IT44"/>
  <c r="IU44"/>
  <c r="IV44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GL43"/>
  <c r="GM43"/>
  <c r="GN43"/>
  <c r="GO43"/>
  <c r="GP43"/>
  <c r="GQ43"/>
  <c r="GR43"/>
  <c r="GS43"/>
  <c r="GT43"/>
  <c r="GU43"/>
  <c r="GV43"/>
  <c r="GW43"/>
  <c r="GX43"/>
  <c r="GY43"/>
  <c r="GZ43"/>
  <c r="HA43"/>
  <c r="HB43"/>
  <c r="HC43"/>
  <c r="HD43"/>
  <c r="HE43"/>
  <c r="HF43"/>
  <c r="HG43"/>
  <c r="HH43"/>
  <c r="HI43"/>
  <c r="HJ43"/>
  <c r="HK43"/>
  <c r="HL43"/>
  <c r="HM43"/>
  <c r="HN43"/>
  <c r="HO43"/>
  <c r="HP43"/>
  <c r="HQ43"/>
  <c r="HR43"/>
  <c r="HS43"/>
  <c r="HT43"/>
  <c r="HU43"/>
  <c r="HV43"/>
  <c r="HW43"/>
  <c r="HX43"/>
  <c r="HY43"/>
  <c r="HZ43"/>
  <c r="IA43"/>
  <c r="IB43"/>
  <c r="IC43"/>
  <c r="ID43"/>
  <c r="IE43"/>
  <c r="IF43"/>
  <c r="IG43"/>
  <c r="IH43"/>
  <c r="II43"/>
  <c r="IJ43"/>
  <c r="IK43"/>
  <c r="IL43"/>
  <c r="IM43"/>
  <c r="IN43"/>
  <c r="IO43"/>
  <c r="IP43"/>
  <c r="IQ43"/>
  <c r="IR43"/>
  <c r="IS43"/>
  <c r="IT43"/>
  <c r="IU43"/>
  <c r="IV43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EO42"/>
  <c r="EP42"/>
  <c r="EQ42"/>
  <c r="ER42"/>
  <c r="ES42"/>
  <c r="ET42"/>
  <c r="EU42"/>
  <c r="EV42"/>
  <c r="EW42"/>
  <c r="EX42"/>
  <c r="EY42"/>
  <c r="EZ42"/>
  <c r="FA42"/>
  <c r="FB42"/>
  <c r="FC42"/>
  <c r="FD42"/>
  <c r="FE42"/>
  <c r="FF42"/>
  <c r="FG42"/>
  <c r="FH42"/>
  <c r="FI42"/>
  <c r="FJ42"/>
  <c r="FK42"/>
  <c r="FL42"/>
  <c r="FM42"/>
  <c r="FN42"/>
  <c r="FO42"/>
  <c r="FP42"/>
  <c r="FQ42"/>
  <c r="FR42"/>
  <c r="FS42"/>
  <c r="FT42"/>
  <c r="FU42"/>
  <c r="FV42"/>
  <c r="FW42"/>
  <c r="FX42"/>
  <c r="FY42"/>
  <c r="FZ42"/>
  <c r="GA42"/>
  <c r="GB42"/>
  <c r="GC42"/>
  <c r="GD42"/>
  <c r="GE42"/>
  <c r="GF42"/>
  <c r="GG42"/>
  <c r="GH42"/>
  <c r="GI42"/>
  <c r="GJ42"/>
  <c r="GK42"/>
  <c r="GL42"/>
  <c r="GM42"/>
  <c r="GN42"/>
  <c r="GO42"/>
  <c r="GP42"/>
  <c r="GQ42"/>
  <c r="GR42"/>
  <c r="GS42"/>
  <c r="GT42"/>
  <c r="GU42"/>
  <c r="GV42"/>
  <c r="GW42"/>
  <c r="GX42"/>
  <c r="GY42"/>
  <c r="GZ42"/>
  <c r="HA42"/>
  <c r="HB42"/>
  <c r="HC42"/>
  <c r="HD42"/>
  <c r="HE42"/>
  <c r="HF42"/>
  <c r="HG42"/>
  <c r="HH42"/>
  <c r="HI42"/>
  <c r="HJ42"/>
  <c r="HK42"/>
  <c r="HL42"/>
  <c r="HM42"/>
  <c r="HN42"/>
  <c r="HO42"/>
  <c r="HP42"/>
  <c r="HQ42"/>
  <c r="HR42"/>
  <c r="HS42"/>
  <c r="HT42"/>
  <c r="HU42"/>
  <c r="HV42"/>
  <c r="HW42"/>
  <c r="HX42"/>
  <c r="HY42"/>
  <c r="HZ42"/>
  <c r="IA42"/>
  <c r="IB42"/>
  <c r="IC42"/>
  <c r="ID42"/>
  <c r="IE42"/>
  <c r="IF42"/>
  <c r="IG42"/>
  <c r="IH42"/>
  <c r="II42"/>
  <c r="IJ42"/>
  <c r="IK42"/>
  <c r="IL42"/>
  <c r="IM42"/>
  <c r="IN42"/>
  <c r="IO42"/>
  <c r="IP42"/>
  <c r="IQ42"/>
  <c r="IR42"/>
  <c r="IS42"/>
  <c r="IT42"/>
  <c r="IU42"/>
  <c r="IV42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W41"/>
  <c r="EX41"/>
  <c r="EY41"/>
  <c r="EZ41"/>
  <c r="FA41"/>
  <c r="FB41"/>
  <c r="FC41"/>
  <c r="FD41"/>
  <c r="FE41"/>
  <c r="FF41"/>
  <c r="FG41"/>
  <c r="FH41"/>
  <c r="FI41"/>
  <c r="FJ41"/>
  <c r="FK41"/>
  <c r="FL41"/>
  <c r="FM41"/>
  <c r="FN41"/>
  <c r="FO41"/>
  <c r="FP41"/>
  <c r="FQ41"/>
  <c r="FR41"/>
  <c r="FS41"/>
  <c r="FT41"/>
  <c r="FU41"/>
  <c r="FV41"/>
  <c r="FW41"/>
  <c r="FX41"/>
  <c r="FY41"/>
  <c r="FZ41"/>
  <c r="GA41"/>
  <c r="GB41"/>
  <c r="GC41"/>
  <c r="GD41"/>
  <c r="GE41"/>
  <c r="GF41"/>
  <c r="GG41"/>
  <c r="GH41"/>
  <c r="GI41"/>
  <c r="GJ41"/>
  <c r="GK41"/>
  <c r="GL41"/>
  <c r="GM41"/>
  <c r="GN41"/>
  <c r="GO41"/>
  <c r="GP41"/>
  <c r="GQ41"/>
  <c r="GR41"/>
  <c r="GS41"/>
  <c r="GT41"/>
  <c r="GU41"/>
  <c r="GV41"/>
  <c r="GW41"/>
  <c r="GX41"/>
  <c r="GY41"/>
  <c r="GZ41"/>
  <c r="HA41"/>
  <c r="HB41"/>
  <c r="HC41"/>
  <c r="HD41"/>
  <c r="HE41"/>
  <c r="HF41"/>
  <c r="HG41"/>
  <c r="HH41"/>
  <c r="HI41"/>
  <c r="HJ41"/>
  <c r="HK41"/>
  <c r="HL41"/>
  <c r="HM41"/>
  <c r="HN41"/>
  <c r="HO41"/>
  <c r="HP41"/>
  <c r="HQ41"/>
  <c r="HR41"/>
  <c r="HS41"/>
  <c r="HT41"/>
  <c r="HU41"/>
  <c r="HV41"/>
  <c r="HW41"/>
  <c r="HX41"/>
  <c r="HY41"/>
  <c r="HZ41"/>
  <c r="IA41"/>
  <c r="IB41"/>
  <c r="IC41"/>
  <c r="ID41"/>
  <c r="IE41"/>
  <c r="IF41"/>
  <c r="IG41"/>
  <c r="IH41"/>
  <c r="II41"/>
  <c r="IJ41"/>
  <c r="IK41"/>
  <c r="IL41"/>
  <c r="IM41"/>
  <c r="IN41"/>
  <c r="IO41"/>
  <c r="IP41"/>
  <c r="IQ41"/>
  <c r="IR41"/>
  <c r="IS41"/>
  <c r="IT41"/>
  <c r="IU41"/>
  <c r="IV41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GJ38"/>
  <c r="GK38"/>
  <c r="GL38"/>
  <c r="GM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S38"/>
  <c r="HT38"/>
  <c r="HU38"/>
  <c r="HV38"/>
  <c r="HW38"/>
  <c r="HX38"/>
  <c r="HY38"/>
  <c r="HZ38"/>
  <c r="IA38"/>
  <c r="IB38"/>
  <c r="IC38"/>
  <c r="ID38"/>
  <c r="IE38"/>
  <c r="IF38"/>
  <c r="IG38"/>
  <c r="IH38"/>
  <c r="II38"/>
  <c r="IJ38"/>
  <c r="IK38"/>
  <c r="IL38"/>
  <c r="IM38"/>
  <c r="IN38"/>
  <c r="IO38"/>
  <c r="IP38"/>
  <c r="IQ38"/>
  <c r="IR38"/>
  <c r="IS38"/>
  <c r="IT38"/>
  <c r="IU38"/>
  <c r="IV38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C37"/>
  <c r="ED37"/>
  <c r="EE37"/>
  <c r="EF37"/>
  <c r="EG37"/>
  <c r="EH37"/>
  <c r="EI37"/>
  <c r="EJ37"/>
  <c r="EK37"/>
  <c r="EL37"/>
  <c r="EM37"/>
  <c r="EN37"/>
  <c r="EO37"/>
  <c r="EP37"/>
  <c r="EQ37"/>
  <c r="ER37"/>
  <c r="ES37"/>
  <c r="ET37"/>
  <c r="EU37"/>
  <c r="EV37"/>
  <c r="EW37"/>
  <c r="EX37"/>
  <c r="EY37"/>
  <c r="EZ37"/>
  <c r="FA37"/>
  <c r="FB37"/>
  <c r="FC37"/>
  <c r="FD37"/>
  <c r="FE37"/>
  <c r="FF37"/>
  <c r="FG37"/>
  <c r="FH37"/>
  <c r="FI37"/>
  <c r="FJ37"/>
  <c r="FK37"/>
  <c r="FL37"/>
  <c r="FM37"/>
  <c r="FN37"/>
  <c r="FO37"/>
  <c r="FP37"/>
  <c r="FQ37"/>
  <c r="FR37"/>
  <c r="FS37"/>
  <c r="FT37"/>
  <c r="FU37"/>
  <c r="FV37"/>
  <c r="FW37"/>
  <c r="FX37"/>
  <c r="FY37"/>
  <c r="FZ37"/>
  <c r="GA37"/>
  <c r="GB37"/>
  <c r="GC37"/>
  <c r="GD37"/>
  <c r="GE37"/>
  <c r="GF37"/>
  <c r="GG37"/>
  <c r="GH37"/>
  <c r="GI37"/>
  <c r="GJ37"/>
  <c r="GK37"/>
  <c r="GL37"/>
  <c r="GM37"/>
  <c r="GN37"/>
  <c r="GO37"/>
  <c r="GP37"/>
  <c r="GQ37"/>
  <c r="GR37"/>
  <c r="GS37"/>
  <c r="GT37"/>
  <c r="GU37"/>
  <c r="GV37"/>
  <c r="GW37"/>
  <c r="GX37"/>
  <c r="GY37"/>
  <c r="GZ37"/>
  <c r="HA37"/>
  <c r="HB37"/>
  <c r="HC37"/>
  <c r="HD37"/>
  <c r="HE37"/>
  <c r="HF37"/>
  <c r="HG37"/>
  <c r="HH37"/>
  <c r="HI37"/>
  <c r="HJ37"/>
  <c r="HK37"/>
  <c r="HL37"/>
  <c r="HM37"/>
  <c r="HN37"/>
  <c r="HO37"/>
  <c r="HP37"/>
  <c r="HQ37"/>
  <c r="HR37"/>
  <c r="HS37"/>
  <c r="HT37"/>
  <c r="HU37"/>
  <c r="HV37"/>
  <c r="HW37"/>
  <c r="HX37"/>
  <c r="HY37"/>
  <c r="HZ37"/>
  <c r="IA37"/>
  <c r="IB37"/>
  <c r="IC37"/>
  <c r="ID37"/>
  <c r="IE37"/>
  <c r="IF37"/>
  <c r="IG37"/>
  <c r="IH37"/>
  <c r="II37"/>
  <c r="IJ37"/>
  <c r="IK37"/>
  <c r="IL37"/>
  <c r="IM37"/>
  <c r="IN37"/>
  <c r="IO37"/>
  <c r="IP37"/>
  <c r="IQ37"/>
  <c r="IR37"/>
  <c r="IS37"/>
  <c r="IT37"/>
  <c r="IU37"/>
  <c r="IV37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B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FV36"/>
  <c r="FW36"/>
  <c r="FX36"/>
  <c r="FY36"/>
  <c r="FZ36"/>
  <c r="GA36"/>
  <c r="GB36"/>
  <c r="GC36"/>
  <c r="GD36"/>
  <c r="GE36"/>
  <c r="GF36"/>
  <c r="GG36"/>
  <c r="GH36"/>
  <c r="GI36"/>
  <c r="GJ36"/>
  <c r="GK36"/>
  <c r="GL36"/>
  <c r="GM36"/>
  <c r="GN36"/>
  <c r="GO36"/>
  <c r="GP36"/>
  <c r="GQ36"/>
  <c r="GR36"/>
  <c r="GS36"/>
  <c r="GT36"/>
  <c r="GU36"/>
  <c r="GV36"/>
  <c r="GW36"/>
  <c r="GX36"/>
  <c r="GY36"/>
  <c r="GZ36"/>
  <c r="HA36"/>
  <c r="HB36"/>
  <c r="HC36"/>
  <c r="HD36"/>
  <c r="HE36"/>
  <c r="HF36"/>
  <c r="HG36"/>
  <c r="HH36"/>
  <c r="HI36"/>
  <c r="HJ36"/>
  <c r="HK36"/>
  <c r="HL36"/>
  <c r="HM36"/>
  <c r="HN36"/>
  <c r="HO36"/>
  <c r="HP36"/>
  <c r="HQ36"/>
  <c r="HR36"/>
  <c r="HS36"/>
  <c r="HT36"/>
  <c r="HU36"/>
  <c r="HV36"/>
  <c r="HW36"/>
  <c r="HX36"/>
  <c r="HY36"/>
  <c r="HZ36"/>
  <c r="IA36"/>
  <c r="IB36"/>
  <c r="IC36"/>
  <c r="ID36"/>
  <c r="IE36"/>
  <c r="IF36"/>
  <c r="IG36"/>
  <c r="IH36"/>
  <c r="II36"/>
  <c r="IJ36"/>
  <c r="IK36"/>
  <c r="IL36"/>
  <c r="IM36"/>
  <c r="IN36"/>
  <c r="IO36"/>
  <c r="IP36"/>
  <c r="IQ36"/>
  <c r="IR36"/>
  <c r="IS36"/>
  <c r="IT36"/>
  <c r="IU36"/>
  <c r="IV36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EQ35"/>
  <c r="ER35"/>
  <c r="ES35"/>
  <c r="ET35"/>
  <c r="EU35"/>
  <c r="EV35"/>
  <c r="EW35"/>
  <c r="EX35"/>
  <c r="EY35"/>
  <c r="EZ35"/>
  <c r="FA35"/>
  <c r="FB35"/>
  <c r="FC35"/>
  <c r="FD35"/>
  <c r="FE35"/>
  <c r="FF35"/>
  <c r="FG35"/>
  <c r="FH35"/>
  <c r="FI35"/>
  <c r="FJ35"/>
  <c r="FK35"/>
  <c r="FL35"/>
  <c r="FM35"/>
  <c r="FN35"/>
  <c r="FO35"/>
  <c r="FP35"/>
  <c r="FQ35"/>
  <c r="FR35"/>
  <c r="FS35"/>
  <c r="FT35"/>
  <c r="FU35"/>
  <c r="FV35"/>
  <c r="FW35"/>
  <c r="FX35"/>
  <c r="FY35"/>
  <c r="FZ35"/>
  <c r="GA35"/>
  <c r="GB35"/>
  <c r="GC35"/>
  <c r="GD35"/>
  <c r="GE35"/>
  <c r="GF35"/>
  <c r="GG35"/>
  <c r="GH35"/>
  <c r="GI35"/>
  <c r="GJ35"/>
  <c r="GK35"/>
  <c r="GL35"/>
  <c r="GM35"/>
  <c r="GN35"/>
  <c r="GO35"/>
  <c r="GP35"/>
  <c r="GQ35"/>
  <c r="GR35"/>
  <c r="GS35"/>
  <c r="GT35"/>
  <c r="GU35"/>
  <c r="GV35"/>
  <c r="GW35"/>
  <c r="GX35"/>
  <c r="GY35"/>
  <c r="GZ35"/>
  <c r="HA35"/>
  <c r="HB35"/>
  <c r="HC35"/>
  <c r="HD35"/>
  <c r="HE35"/>
  <c r="HF35"/>
  <c r="HG35"/>
  <c r="HH35"/>
  <c r="HI35"/>
  <c r="HJ35"/>
  <c r="HK35"/>
  <c r="HL35"/>
  <c r="HM35"/>
  <c r="HN35"/>
  <c r="HO35"/>
  <c r="HP35"/>
  <c r="HQ35"/>
  <c r="HR35"/>
  <c r="HS35"/>
  <c r="HT35"/>
  <c r="HU35"/>
  <c r="HV35"/>
  <c r="HW35"/>
  <c r="HX35"/>
  <c r="HY35"/>
  <c r="HZ35"/>
  <c r="IA35"/>
  <c r="IB35"/>
  <c r="IC35"/>
  <c r="ID35"/>
  <c r="IE35"/>
  <c r="IF35"/>
  <c r="IG35"/>
  <c r="IH35"/>
  <c r="II35"/>
  <c r="IJ35"/>
  <c r="IK35"/>
  <c r="IL35"/>
  <c r="IM35"/>
  <c r="IN35"/>
  <c r="IO35"/>
  <c r="IP35"/>
  <c r="IQ35"/>
  <c r="IR35"/>
  <c r="IS35"/>
  <c r="IT35"/>
  <c r="IU35"/>
  <c r="IV35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EQ34"/>
  <c r="ER34"/>
  <c r="ES34"/>
  <c r="ET34"/>
  <c r="EU34"/>
  <c r="EV34"/>
  <c r="EW34"/>
  <c r="EX34"/>
  <c r="EY34"/>
  <c r="EZ34"/>
  <c r="FA34"/>
  <c r="FB34"/>
  <c r="FC34"/>
  <c r="FD34"/>
  <c r="FE34"/>
  <c r="FF34"/>
  <c r="FG34"/>
  <c r="FH34"/>
  <c r="FI34"/>
  <c r="FJ34"/>
  <c r="FK34"/>
  <c r="FL34"/>
  <c r="FM34"/>
  <c r="FN34"/>
  <c r="FO34"/>
  <c r="FP34"/>
  <c r="FQ34"/>
  <c r="FR34"/>
  <c r="FS34"/>
  <c r="FT34"/>
  <c r="FU34"/>
  <c r="FV34"/>
  <c r="FW34"/>
  <c r="FX34"/>
  <c r="FY34"/>
  <c r="FZ34"/>
  <c r="GA34"/>
  <c r="GB34"/>
  <c r="GC34"/>
  <c r="GD34"/>
  <c r="GE34"/>
  <c r="GF34"/>
  <c r="GG34"/>
  <c r="GH34"/>
  <c r="GI34"/>
  <c r="GJ34"/>
  <c r="GK34"/>
  <c r="GL34"/>
  <c r="GM34"/>
  <c r="GN34"/>
  <c r="GO34"/>
  <c r="GP34"/>
  <c r="GQ34"/>
  <c r="GR34"/>
  <c r="GS34"/>
  <c r="GT34"/>
  <c r="GU34"/>
  <c r="GV34"/>
  <c r="GW34"/>
  <c r="GX34"/>
  <c r="GY34"/>
  <c r="GZ34"/>
  <c r="HA34"/>
  <c r="HB34"/>
  <c r="HC34"/>
  <c r="HD34"/>
  <c r="HE34"/>
  <c r="HF34"/>
  <c r="HG34"/>
  <c r="HH34"/>
  <c r="HI34"/>
  <c r="HJ34"/>
  <c r="HK34"/>
  <c r="HL34"/>
  <c r="HM34"/>
  <c r="HN34"/>
  <c r="HO34"/>
  <c r="HP34"/>
  <c r="HQ34"/>
  <c r="HR34"/>
  <c r="HS34"/>
  <c r="HT34"/>
  <c r="HU34"/>
  <c r="HV34"/>
  <c r="HW34"/>
  <c r="HX34"/>
  <c r="HY34"/>
  <c r="HZ34"/>
  <c r="IA34"/>
  <c r="IB34"/>
  <c r="IC34"/>
  <c r="ID34"/>
  <c r="IE34"/>
  <c r="IF34"/>
  <c r="IG34"/>
  <c r="IH34"/>
  <c r="II34"/>
  <c r="IJ34"/>
  <c r="IK34"/>
  <c r="IL34"/>
  <c r="IM34"/>
  <c r="IN34"/>
  <c r="IO34"/>
  <c r="IP34"/>
  <c r="IQ34"/>
  <c r="IR34"/>
  <c r="IS34"/>
  <c r="IT34"/>
  <c r="IU34"/>
  <c r="IV34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B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FV33"/>
  <c r="FW33"/>
  <c r="FX33"/>
  <c r="FY33"/>
  <c r="FZ33"/>
  <c r="GA33"/>
  <c r="GB33"/>
  <c r="GC33"/>
  <c r="GD33"/>
  <c r="GE33"/>
  <c r="GF33"/>
  <c r="GG33"/>
  <c r="GH33"/>
  <c r="GI33"/>
  <c r="GJ33"/>
  <c r="GK33"/>
  <c r="GL33"/>
  <c r="GM33"/>
  <c r="GN33"/>
  <c r="GO33"/>
  <c r="GP33"/>
  <c r="GQ33"/>
  <c r="GR33"/>
  <c r="GS33"/>
  <c r="GT33"/>
  <c r="GU33"/>
  <c r="GV33"/>
  <c r="GW33"/>
  <c r="GX33"/>
  <c r="GY33"/>
  <c r="GZ33"/>
  <c r="HA33"/>
  <c r="HB33"/>
  <c r="HC33"/>
  <c r="HD33"/>
  <c r="HE33"/>
  <c r="HF33"/>
  <c r="HG33"/>
  <c r="HH33"/>
  <c r="HI33"/>
  <c r="HJ33"/>
  <c r="HK33"/>
  <c r="HL33"/>
  <c r="HM33"/>
  <c r="HN33"/>
  <c r="HO33"/>
  <c r="HP33"/>
  <c r="HQ33"/>
  <c r="HR33"/>
  <c r="HS33"/>
  <c r="HT33"/>
  <c r="HU33"/>
  <c r="HV33"/>
  <c r="HW33"/>
  <c r="HX33"/>
  <c r="HY33"/>
  <c r="HZ33"/>
  <c r="IA33"/>
  <c r="IB33"/>
  <c r="IC33"/>
  <c r="ID33"/>
  <c r="IE33"/>
  <c r="IF33"/>
  <c r="IG33"/>
  <c r="IH33"/>
  <c r="II33"/>
  <c r="IJ33"/>
  <c r="IK33"/>
  <c r="IL33"/>
  <c r="IM33"/>
  <c r="IN33"/>
  <c r="IO33"/>
  <c r="IP33"/>
  <c r="IQ33"/>
  <c r="IR33"/>
  <c r="IS33"/>
  <c r="IT33"/>
  <c r="IU33"/>
  <c r="IV33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FV32"/>
  <c r="FW32"/>
  <c r="FX32"/>
  <c r="FY32"/>
  <c r="FZ32"/>
  <c r="GA32"/>
  <c r="GB32"/>
  <c r="GC32"/>
  <c r="GD32"/>
  <c r="GE32"/>
  <c r="GF32"/>
  <c r="GG32"/>
  <c r="GH32"/>
  <c r="GI32"/>
  <c r="GJ32"/>
  <c r="GK32"/>
  <c r="GL32"/>
  <c r="GM32"/>
  <c r="GN32"/>
  <c r="GO32"/>
  <c r="GP32"/>
  <c r="GQ32"/>
  <c r="GR32"/>
  <c r="GS32"/>
  <c r="GT32"/>
  <c r="GU32"/>
  <c r="GV32"/>
  <c r="GW32"/>
  <c r="GX32"/>
  <c r="GY32"/>
  <c r="GZ32"/>
  <c r="HA32"/>
  <c r="HB32"/>
  <c r="HC32"/>
  <c r="HD32"/>
  <c r="HE32"/>
  <c r="HF32"/>
  <c r="HG32"/>
  <c r="HH32"/>
  <c r="HI32"/>
  <c r="HJ32"/>
  <c r="HK32"/>
  <c r="HL32"/>
  <c r="HM32"/>
  <c r="HN32"/>
  <c r="HO32"/>
  <c r="HP32"/>
  <c r="HQ32"/>
  <c r="HR32"/>
  <c r="HS32"/>
  <c r="HT32"/>
  <c r="HU32"/>
  <c r="HV32"/>
  <c r="HW32"/>
  <c r="HX32"/>
  <c r="HY32"/>
  <c r="HZ32"/>
  <c r="IA32"/>
  <c r="IB32"/>
  <c r="IC32"/>
  <c r="ID32"/>
  <c r="IE32"/>
  <c r="IF32"/>
  <c r="IG32"/>
  <c r="IH32"/>
  <c r="II32"/>
  <c r="IJ32"/>
  <c r="IK32"/>
  <c r="IL32"/>
  <c r="IM32"/>
  <c r="IN32"/>
  <c r="IO32"/>
  <c r="IP32"/>
  <c r="IQ32"/>
  <c r="IR32"/>
  <c r="IS32"/>
  <c r="IT32"/>
  <c r="IU32"/>
  <c r="IV32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FV31"/>
  <c r="FW31"/>
  <c r="FX31"/>
  <c r="FY31"/>
  <c r="FZ31"/>
  <c r="GA31"/>
  <c r="GB31"/>
  <c r="GC31"/>
  <c r="GD31"/>
  <c r="GE31"/>
  <c r="GF31"/>
  <c r="GG31"/>
  <c r="GH31"/>
  <c r="GI31"/>
  <c r="GJ31"/>
  <c r="GK31"/>
  <c r="GL31"/>
  <c r="GM31"/>
  <c r="GN31"/>
  <c r="GO31"/>
  <c r="GP31"/>
  <c r="GQ31"/>
  <c r="GR31"/>
  <c r="GS31"/>
  <c r="GT31"/>
  <c r="GU31"/>
  <c r="GV31"/>
  <c r="GW31"/>
  <c r="GX31"/>
  <c r="GY31"/>
  <c r="GZ31"/>
  <c r="HA31"/>
  <c r="HB31"/>
  <c r="HC31"/>
  <c r="HD31"/>
  <c r="HE31"/>
  <c r="HF31"/>
  <c r="HG31"/>
  <c r="HH31"/>
  <c r="HI31"/>
  <c r="HJ31"/>
  <c r="HK31"/>
  <c r="HL31"/>
  <c r="HM31"/>
  <c r="HN31"/>
  <c r="HO31"/>
  <c r="HP31"/>
  <c r="HQ31"/>
  <c r="HR31"/>
  <c r="HS31"/>
  <c r="HT31"/>
  <c r="HU31"/>
  <c r="HV31"/>
  <c r="HW31"/>
  <c r="HX31"/>
  <c r="HY31"/>
  <c r="HZ31"/>
  <c r="IA31"/>
  <c r="IB31"/>
  <c r="IC31"/>
  <c r="ID31"/>
  <c r="IE31"/>
  <c r="IF31"/>
  <c r="IG31"/>
  <c r="IH31"/>
  <c r="II31"/>
  <c r="IJ31"/>
  <c r="IK31"/>
  <c r="IL31"/>
  <c r="IM31"/>
  <c r="IN31"/>
  <c r="IO31"/>
  <c r="IP31"/>
  <c r="IQ31"/>
  <c r="IR31"/>
  <c r="IS31"/>
  <c r="IT31"/>
  <c r="IU31"/>
  <c r="IV31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V30"/>
  <c r="FW30"/>
  <c r="FX30"/>
  <c r="FY30"/>
  <c r="FZ30"/>
  <c r="GA30"/>
  <c r="GB30"/>
  <c r="GC30"/>
  <c r="GD30"/>
  <c r="GE30"/>
  <c r="GF30"/>
  <c r="GG30"/>
  <c r="GH30"/>
  <c r="GI30"/>
  <c r="GJ30"/>
  <c r="GK30"/>
  <c r="GL30"/>
  <c r="GM30"/>
  <c r="GN30"/>
  <c r="GO30"/>
  <c r="GP30"/>
  <c r="GQ30"/>
  <c r="GR30"/>
  <c r="GS30"/>
  <c r="GT30"/>
  <c r="GU30"/>
  <c r="GV30"/>
  <c r="GW30"/>
  <c r="GX30"/>
  <c r="GY30"/>
  <c r="GZ30"/>
  <c r="HA30"/>
  <c r="HB30"/>
  <c r="HC30"/>
  <c r="HD30"/>
  <c r="HE30"/>
  <c r="HF30"/>
  <c r="HG30"/>
  <c r="HH30"/>
  <c r="HI30"/>
  <c r="HJ30"/>
  <c r="HK30"/>
  <c r="HL30"/>
  <c r="HM30"/>
  <c r="HN30"/>
  <c r="HO30"/>
  <c r="HP30"/>
  <c r="HQ30"/>
  <c r="HR30"/>
  <c r="HS30"/>
  <c r="HT30"/>
  <c r="HU30"/>
  <c r="HV30"/>
  <c r="HW30"/>
  <c r="HX30"/>
  <c r="HY30"/>
  <c r="HZ30"/>
  <c r="IA30"/>
  <c r="IB30"/>
  <c r="IC30"/>
  <c r="ID30"/>
  <c r="IE30"/>
  <c r="IF30"/>
  <c r="IG30"/>
  <c r="IH30"/>
  <c r="II30"/>
  <c r="IJ30"/>
  <c r="IK30"/>
  <c r="IL30"/>
  <c r="IM30"/>
  <c r="IN30"/>
  <c r="IO30"/>
  <c r="IP30"/>
  <c r="IQ30"/>
  <c r="IR30"/>
  <c r="IS30"/>
  <c r="IT30"/>
  <c r="IU30"/>
  <c r="IV30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FV29"/>
  <c r="FW29"/>
  <c r="FX29"/>
  <c r="FY29"/>
  <c r="FZ29"/>
  <c r="GA29"/>
  <c r="GB29"/>
  <c r="GC29"/>
  <c r="GD29"/>
  <c r="GE29"/>
  <c r="GF29"/>
  <c r="GG29"/>
  <c r="GH29"/>
  <c r="GI29"/>
  <c r="GJ29"/>
  <c r="GK29"/>
  <c r="GL29"/>
  <c r="GM29"/>
  <c r="GN29"/>
  <c r="GO29"/>
  <c r="GP29"/>
  <c r="GQ29"/>
  <c r="GR29"/>
  <c r="GS29"/>
  <c r="GT29"/>
  <c r="GU29"/>
  <c r="GV29"/>
  <c r="GW29"/>
  <c r="GX29"/>
  <c r="GY29"/>
  <c r="GZ29"/>
  <c r="HA29"/>
  <c r="HB29"/>
  <c r="HC29"/>
  <c r="HD29"/>
  <c r="HE29"/>
  <c r="HF29"/>
  <c r="HG29"/>
  <c r="HH29"/>
  <c r="HI29"/>
  <c r="HJ29"/>
  <c r="HK29"/>
  <c r="HL29"/>
  <c r="HM29"/>
  <c r="HN29"/>
  <c r="HO29"/>
  <c r="HP29"/>
  <c r="HQ29"/>
  <c r="HR29"/>
  <c r="HS29"/>
  <c r="HT29"/>
  <c r="HU29"/>
  <c r="HV29"/>
  <c r="HW29"/>
  <c r="HX29"/>
  <c r="HY29"/>
  <c r="HZ29"/>
  <c r="IA29"/>
  <c r="IB29"/>
  <c r="IC29"/>
  <c r="ID29"/>
  <c r="IE29"/>
  <c r="IF29"/>
  <c r="IG29"/>
  <c r="IH29"/>
  <c r="II29"/>
  <c r="IJ29"/>
  <c r="IK29"/>
  <c r="IL29"/>
  <c r="IM29"/>
  <c r="IN29"/>
  <c r="IO29"/>
  <c r="IP29"/>
  <c r="IQ29"/>
  <c r="IR29"/>
  <c r="IS29"/>
  <c r="IT29"/>
  <c r="IU29"/>
  <c r="IV29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FR27"/>
  <c r="FS27"/>
  <c r="FT27"/>
  <c r="FU27"/>
  <c r="FV27"/>
  <c r="FW27"/>
  <c r="FX27"/>
  <c r="FY27"/>
  <c r="FZ27"/>
  <c r="GA27"/>
  <c r="GB27"/>
  <c r="GC27"/>
  <c r="GD27"/>
  <c r="GE27"/>
  <c r="GF27"/>
  <c r="GG27"/>
  <c r="GH27"/>
  <c r="GI27"/>
  <c r="GJ27"/>
  <c r="GK27"/>
  <c r="GL27"/>
  <c r="GM27"/>
  <c r="GN27"/>
  <c r="GO27"/>
  <c r="GP27"/>
  <c r="GQ27"/>
  <c r="GR27"/>
  <c r="GS27"/>
  <c r="GT27"/>
  <c r="GU27"/>
  <c r="GV27"/>
  <c r="GW27"/>
  <c r="GX27"/>
  <c r="GY27"/>
  <c r="GZ27"/>
  <c r="HA27"/>
  <c r="HB27"/>
  <c r="HC27"/>
  <c r="HD27"/>
  <c r="HE27"/>
  <c r="HF27"/>
  <c r="HG27"/>
  <c r="HH27"/>
  <c r="HI27"/>
  <c r="HJ27"/>
  <c r="HK27"/>
  <c r="HL27"/>
  <c r="HM27"/>
  <c r="HN27"/>
  <c r="HO27"/>
  <c r="HP27"/>
  <c r="HQ27"/>
  <c r="HR27"/>
  <c r="HS27"/>
  <c r="HT27"/>
  <c r="HU27"/>
  <c r="HV27"/>
  <c r="HW27"/>
  <c r="HX27"/>
  <c r="HY27"/>
  <c r="HZ27"/>
  <c r="IA27"/>
  <c r="IB27"/>
  <c r="IC27"/>
  <c r="ID27"/>
  <c r="IE27"/>
  <c r="IF27"/>
  <c r="IG27"/>
  <c r="IH27"/>
  <c r="II27"/>
  <c r="IJ27"/>
  <c r="IK27"/>
  <c r="IL27"/>
  <c r="IM27"/>
  <c r="IN27"/>
  <c r="IO27"/>
  <c r="IP27"/>
  <c r="IQ27"/>
  <c r="IR27"/>
  <c r="IS27"/>
  <c r="IT27"/>
  <c r="IU27"/>
  <c r="IV27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GY26"/>
  <c r="GZ26"/>
  <c r="HA26"/>
  <c r="HB26"/>
  <c r="HC26"/>
  <c r="HD26"/>
  <c r="HE26"/>
  <c r="HF26"/>
  <c r="HG26"/>
  <c r="HH26"/>
  <c r="HI26"/>
  <c r="HJ26"/>
  <c r="HK26"/>
  <c r="HL26"/>
  <c r="HM26"/>
  <c r="HN26"/>
  <c r="HO26"/>
  <c r="HP26"/>
  <c r="HQ26"/>
  <c r="HR26"/>
  <c r="HS26"/>
  <c r="HT26"/>
  <c r="HU26"/>
  <c r="HV26"/>
  <c r="HW26"/>
  <c r="HX26"/>
  <c r="HY26"/>
  <c r="HZ26"/>
  <c r="IA26"/>
  <c r="IB26"/>
  <c r="IC26"/>
  <c r="ID26"/>
  <c r="IE26"/>
  <c r="IF26"/>
  <c r="IG26"/>
  <c r="IH26"/>
  <c r="II26"/>
  <c r="IJ26"/>
  <c r="IK26"/>
  <c r="IL26"/>
  <c r="IM26"/>
  <c r="IN26"/>
  <c r="IO26"/>
  <c r="IP26"/>
  <c r="IQ26"/>
  <c r="IR26"/>
  <c r="IS26"/>
  <c r="IT26"/>
  <c r="IU26"/>
  <c r="IV26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FV25"/>
  <c r="FW25"/>
  <c r="FX25"/>
  <c r="FY25"/>
  <c r="FZ25"/>
  <c r="GA25"/>
  <c r="GB25"/>
  <c r="GC25"/>
  <c r="GD25"/>
  <c r="GE25"/>
  <c r="GF25"/>
  <c r="GG25"/>
  <c r="GH25"/>
  <c r="GI25"/>
  <c r="GJ25"/>
  <c r="GK25"/>
  <c r="GL25"/>
  <c r="GM25"/>
  <c r="GN25"/>
  <c r="GO25"/>
  <c r="GP25"/>
  <c r="GQ25"/>
  <c r="GR25"/>
  <c r="GS25"/>
  <c r="GT25"/>
  <c r="GU25"/>
  <c r="GV25"/>
  <c r="GW25"/>
  <c r="GX25"/>
  <c r="GY25"/>
  <c r="GZ25"/>
  <c r="HA25"/>
  <c r="HB25"/>
  <c r="HC25"/>
  <c r="HD25"/>
  <c r="HE25"/>
  <c r="HF25"/>
  <c r="HG25"/>
  <c r="HH25"/>
  <c r="HI25"/>
  <c r="HJ25"/>
  <c r="HK25"/>
  <c r="HL25"/>
  <c r="HM25"/>
  <c r="HN25"/>
  <c r="HO25"/>
  <c r="HP25"/>
  <c r="HQ25"/>
  <c r="HR25"/>
  <c r="HS25"/>
  <c r="HT25"/>
  <c r="HU25"/>
  <c r="HV25"/>
  <c r="HW25"/>
  <c r="HX25"/>
  <c r="HY25"/>
  <c r="HZ25"/>
  <c r="IA25"/>
  <c r="IB25"/>
  <c r="IC25"/>
  <c r="ID25"/>
  <c r="IE25"/>
  <c r="IF25"/>
  <c r="IG25"/>
  <c r="IH25"/>
  <c r="II25"/>
  <c r="IJ25"/>
  <c r="IK25"/>
  <c r="IL25"/>
  <c r="IM25"/>
  <c r="IN25"/>
  <c r="IO25"/>
  <c r="IP25"/>
  <c r="IQ25"/>
  <c r="IR25"/>
  <c r="IS25"/>
  <c r="IT25"/>
  <c r="IU25"/>
  <c r="IV25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X24"/>
  <c r="FY24"/>
  <c r="FZ24"/>
  <c r="GA24"/>
  <c r="GB24"/>
  <c r="GC24"/>
  <c r="GD24"/>
  <c r="GE24"/>
  <c r="GF24"/>
  <c r="GG24"/>
  <c r="GH24"/>
  <c r="GI24"/>
  <c r="GJ24"/>
  <c r="GK24"/>
  <c r="GL24"/>
  <c r="GM24"/>
  <c r="GN24"/>
  <c r="GO24"/>
  <c r="GP24"/>
  <c r="GQ24"/>
  <c r="GR24"/>
  <c r="GS24"/>
  <c r="GT24"/>
  <c r="GU24"/>
  <c r="GV24"/>
  <c r="GW24"/>
  <c r="GX24"/>
  <c r="GY24"/>
  <c r="GZ24"/>
  <c r="HA24"/>
  <c r="HB24"/>
  <c r="HC24"/>
  <c r="HD24"/>
  <c r="HE24"/>
  <c r="HF24"/>
  <c r="HG24"/>
  <c r="HH24"/>
  <c r="HI24"/>
  <c r="HJ24"/>
  <c r="HK24"/>
  <c r="HL24"/>
  <c r="HM24"/>
  <c r="HN24"/>
  <c r="HO24"/>
  <c r="HP24"/>
  <c r="HQ24"/>
  <c r="HR24"/>
  <c r="HS24"/>
  <c r="HT24"/>
  <c r="HU24"/>
  <c r="HV24"/>
  <c r="HW24"/>
  <c r="HX24"/>
  <c r="HY24"/>
  <c r="HZ24"/>
  <c r="IA24"/>
  <c r="IB24"/>
  <c r="IC24"/>
  <c r="ID24"/>
  <c r="IE24"/>
  <c r="IF24"/>
  <c r="IG24"/>
  <c r="IH24"/>
  <c r="II24"/>
  <c r="IJ24"/>
  <c r="IK24"/>
  <c r="IL24"/>
  <c r="IM24"/>
  <c r="IN24"/>
  <c r="IO24"/>
  <c r="IP24"/>
  <c r="IQ24"/>
  <c r="IR24"/>
  <c r="IS24"/>
  <c r="IT24"/>
  <c r="IU24"/>
  <c r="IV24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FV23"/>
  <c r="FW23"/>
  <c r="FX23"/>
  <c r="FY23"/>
  <c r="FZ23"/>
  <c r="GA23"/>
  <c r="GB23"/>
  <c r="GC23"/>
  <c r="GD23"/>
  <c r="GE23"/>
  <c r="GF23"/>
  <c r="GG23"/>
  <c r="GH23"/>
  <c r="GI23"/>
  <c r="GJ23"/>
  <c r="GK23"/>
  <c r="GL23"/>
  <c r="GM23"/>
  <c r="GN23"/>
  <c r="GO23"/>
  <c r="GP23"/>
  <c r="GQ23"/>
  <c r="GR23"/>
  <c r="GS23"/>
  <c r="GT23"/>
  <c r="GU23"/>
  <c r="GV23"/>
  <c r="GW23"/>
  <c r="GX23"/>
  <c r="GY23"/>
  <c r="GZ23"/>
  <c r="HA23"/>
  <c r="HB23"/>
  <c r="HC23"/>
  <c r="HD23"/>
  <c r="HE23"/>
  <c r="HF23"/>
  <c r="HG23"/>
  <c r="HH23"/>
  <c r="HI23"/>
  <c r="HJ23"/>
  <c r="HK23"/>
  <c r="HL23"/>
  <c r="HM23"/>
  <c r="HN23"/>
  <c r="HO23"/>
  <c r="HP23"/>
  <c r="HQ23"/>
  <c r="HR23"/>
  <c r="HS23"/>
  <c r="HT23"/>
  <c r="HU23"/>
  <c r="HV23"/>
  <c r="HW23"/>
  <c r="HX23"/>
  <c r="HY23"/>
  <c r="HZ23"/>
  <c r="IA23"/>
  <c r="IB23"/>
  <c r="IC23"/>
  <c r="ID23"/>
  <c r="IE23"/>
  <c r="IF23"/>
  <c r="IG23"/>
  <c r="IH23"/>
  <c r="II23"/>
  <c r="IJ23"/>
  <c r="IK23"/>
  <c r="IL23"/>
  <c r="IM23"/>
  <c r="IN23"/>
  <c r="IO23"/>
  <c r="IP23"/>
  <c r="IQ23"/>
  <c r="IR23"/>
  <c r="IS23"/>
  <c r="IT23"/>
  <c r="IU23"/>
  <c r="IV23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GY22"/>
  <c r="GZ22"/>
  <c r="HA22"/>
  <c r="HB22"/>
  <c r="HC22"/>
  <c r="HD22"/>
  <c r="HE22"/>
  <c r="HF22"/>
  <c r="HG22"/>
  <c r="HH22"/>
  <c r="HI22"/>
  <c r="HJ22"/>
  <c r="HK22"/>
  <c r="HL22"/>
  <c r="HM22"/>
  <c r="HN22"/>
  <c r="HO22"/>
  <c r="HP22"/>
  <c r="HQ22"/>
  <c r="HR22"/>
  <c r="HS22"/>
  <c r="HT22"/>
  <c r="HU22"/>
  <c r="HV22"/>
  <c r="HW22"/>
  <c r="HX22"/>
  <c r="HY22"/>
  <c r="HZ22"/>
  <c r="IA22"/>
  <c r="IB22"/>
  <c r="IC22"/>
  <c r="ID22"/>
  <c r="IE22"/>
  <c r="IF22"/>
  <c r="IG22"/>
  <c r="IH22"/>
  <c r="II22"/>
  <c r="IJ22"/>
  <c r="IK22"/>
  <c r="IL22"/>
  <c r="IM22"/>
  <c r="IN22"/>
  <c r="IO22"/>
  <c r="IP22"/>
  <c r="IQ22"/>
  <c r="IR22"/>
  <c r="IS22"/>
  <c r="IT22"/>
  <c r="IU22"/>
  <c r="IV22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FV21"/>
  <c r="FW21"/>
  <c r="FX21"/>
  <c r="FY21"/>
  <c r="FZ21"/>
  <c r="GA21"/>
  <c r="GB21"/>
  <c r="GC21"/>
  <c r="GD21"/>
  <c r="GE21"/>
  <c r="GF21"/>
  <c r="GG21"/>
  <c r="GH21"/>
  <c r="GI21"/>
  <c r="GJ21"/>
  <c r="GK21"/>
  <c r="GL21"/>
  <c r="GM21"/>
  <c r="GN21"/>
  <c r="GO21"/>
  <c r="GP21"/>
  <c r="GQ21"/>
  <c r="GR21"/>
  <c r="GS21"/>
  <c r="GT21"/>
  <c r="GU21"/>
  <c r="GV21"/>
  <c r="GW21"/>
  <c r="GX21"/>
  <c r="GY21"/>
  <c r="GZ21"/>
  <c r="HA21"/>
  <c r="HB21"/>
  <c r="HC21"/>
  <c r="HD21"/>
  <c r="HE21"/>
  <c r="HF21"/>
  <c r="HG21"/>
  <c r="HH21"/>
  <c r="HI21"/>
  <c r="HJ21"/>
  <c r="HK21"/>
  <c r="HL21"/>
  <c r="HM21"/>
  <c r="HN21"/>
  <c r="HO21"/>
  <c r="HP21"/>
  <c r="HQ21"/>
  <c r="HR21"/>
  <c r="HS21"/>
  <c r="HT21"/>
  <c r="HU21"/>
  <c r="HV21"/>
  <c r="HW21"/>
  <c r="HX21"/>
  <c r="HY21"/>
  <c r="HZ21"/>
  <c r="IA21"/>
  <c r="IB21"/>
  <c r="IC21"/>
  <c r="ID21"/>
  <c r="IE21"/>
  <c r="IF21"/>
  <c r="IG21"/>
  <c r="IH21"/>
  <c r="II21"/>
  <c r="IJ21"/>
  <c r="IK21"/>
  <c r="IL21"/>
  <c r="IM21"/>
  <c r="IN21"/>
  <c r="IO21"/>
  <c r="IP21"/>
  <c r="IQ21"/>
  <c r="IR21"/>
  <c r="IS21"/>
  <c r="IT21"/>
  <c r="IU21"/>
  <c r="IV21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GB20"/>
  <c r="GC20"/>
  <c r="GD20"/>
  <c r="GE20"/>
  <c r="GF20"/>
  <c r="GG20"/>
  <c r="GH20"/>
  <c r="GI20"/>
  <c r="GJ20"/>
  <c r="GK20"/>
  <c r="GL20"/>
  <c r="GM20"/>
  <c r="GN20"/>
  <c r="GO20"/>
  <c r="GP20"/>
  <c r="GQ20"/>
  <c r="GR20"/>
  <c r="GS20"/>
  <c r="GT20"/>
  <c r="GU20"/>
  <c r="GV20"/>
  <c r="GW20"/>
  <c r="GX20"/>
  <c r="GY20"/>
  <c r="GZ20"/>
  <c r="HA20"/>
  <c r="HB20"/>
  <c r="HC20"/>
  <c r="HD20"/>
  <c r="HE20"/>
  <c r="HF20"/>
  <c r="HG20"/>
  <c r="HH20"/>
  <c r="HI20"/>
  <c r="HJ20"/>
  <c r="HK20"/>
  <c r="HL20"/>
  <c r="HM20"/>
  <c r="HN20"/>
  <c r="HO20"/>
  <c r="HP20"/>
  <c r="HQ20"/>
  <c r="HR20"/>
  <c r="HS20"/>
  <c r="HT20"/>
  <c r="HU20"/>
  <c r="HV20"/>
  <c r="HW20"/>
  <c r="HX20"/>
  <c r="HY20"/>
  <c r="HZ20"/>
  <c r="IA20"/>
  <c r="IB20"/>
  <c r="IC20"/>
  <c r="ID20"/>
  <c r="IE20"/>
  <c r="IF20"/>
  <c r="IG20"/>
  <c r="IH20"/>
  <c r="II20"/>
  <c r="IJ20"/>
  <c r="IK20"/>
  <c r="IL20"/>
  <c r="IM20"/>
  <c r="IN20"/>
  <c r="IO20"/>
  <c r="IP20"/>
  <c r="IQ20"/>
  <c r="IR20"/>
  <c r="IS20"/>
  <c r="IT20"/>
  <c r="IU20"/>
  <c r="IV20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GB19"/>
  <c r="GC19"/>
  <c r="GD19"/>
  <c r="GE19"/>
  <c r="GF19"/>
  <c r="GG19"/>
  <c r="GH19"/>
  <c r="GI19"/>
  <c r="GJ19"/>
  <c r="GK19"/>
  <c r="GL19"/>
  <c r="GM19"/>
  <c r="GN19"/>
  <c r="GO19"/>
  <c r="GP19"/>
  <c r="GQ19"/>
  <c r="GR19"/>
  <c r="GS19"/>
  <c r="GT19"/>
  <c r="GU19"/>
  <c r="GV19"/>
  <c r="GW19"/>
  <c r="GX19"/>
  <c r="GY19"/>
  <c r="GZ19"/>
  <c r="HA19"/>
  <c r="HB19"/>
  <c r="HC19"/>
  <c r="HD19"/>
  <c r="HE19"/>
  <c r="HF19"/>
  <c r="HG19"/>
  <c r="HH19"/>
  <c r="HI19"/>
  <c r="HJ19"/>
  <c r="HK19"/>
  <c r="HL19"/>
  <c r="HM19"/>
  <c r="HN19"/>
  <c r="HO19"/>
  <c r="HP19"/>
  <c r="HQ19"/>
  <c r="HR19"/>
  <c r="HS19"/>
  <c r="HT19"/>
  <c r="HU19"/>
  <c r="HV19"/>
  <c r="HW19"/>
  <c r="HX19"/>
  <c r="HY19"/>
  <c r="HZ19"/>
  <c r="IA19"/>
  <c r="IB19"/>
  <c r="IC19"/>
  <c r="ID19"/>
  <c r="IE19"/>
  <c r="IF19"/>
  <c r="IG19"/>
  <c r="IH19"/>
  <c r="II19"/>
  <c r="IJ19"/>
  <c r="IK19"/>
  <c r="IL19"/>
  <c r="IM19"/>
  <c r="IN19"/>
  <c r="IO19"/>
  <c r="IP19"/>
  <c r="IQ19"/>
  <c r="IR19"/>
  <c r="IS19"/>
  <c r="IT19"/>
  <c r="IU19"/>
  <c r="IV19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HV18"/>
  <c r="HW18"/>
  <c r="HX18"/>
  <c r="HY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IS18"/>
  <c r="IT18"/>
  <c r="IU18"/>
  <c r="IV18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HV17"/>
  <c r="HW17"/>
  <c r="HX17"/>
  <c r="HY17"/>
  <c r="HZ17"/>
  <c r="IA17"/>
  <c r="IB17"/>
  <c r="IC17"/>
  <c r="ID17"/>
  <c r="IE17"/>
  <c r="IF17"/>
  <c r="IG17"/>
  <c r="IH17"/>
  <c r="II17"/>
  <c r="IJ17"/>
  <c r="IK17"/>
  <c r="IL17"/>
  <c r="IM17"/>
  <c r="IN17"/>
  <c r="IO17"/>
  <c r="IP17"/>
  <c r="IQ17"/>
  <c r="IR17"/>
  <c r="IS17"/>
  <c r="IT17"/>
  <c r="IU17"/>
  <c r="IV17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IS16"/>
  <c r="IT16"/>
  <c r="IU16"/>
  <c r="IV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  <c r="B11" i="1"/>
  <c r="I65" i="9"/>
  <c r="J65"/>
  <c r="K65"/>
  <c r="L65"/>
  <c r="O65"/>
  <c r="N65"/>
  <c r="M65"/>
</calcChain>
</file>

<file path=xl/sharedStrings.xml><?xml version="1.0" encoding="utf-8"?>
<sst xmlns="http://schemas.openxmlformats.org/spreadsheetml/2006/main" count="3834" uniqueCount="1566">
  <si>
    <t>Species Name</t>
  </si>
  <si>
    <t>Family</t>
  </si>
  <si>
    <t>Order</t>
  </si>
  <si>
    <t>Class</t>
  </si>
  <si>
    <t>Phylum</t>
  </si>
  <si>
    <t>Chordata</t>
  </si>
  <si>
    <t xml:space="preserve">Common Name </t>
  </si>
  <si>
    <t>Genus</t>
  </si>
  <si>
    <t>species#</t>
  </si>
  <si>
    <t>Mammals</t>
  </si>
  <si>
    <t>Fungi</t>
  </si>
  <si>
    <t>Insects</t>
  </si>
  <si>
    <t>Banded killifish</t>
  </si>
  <si>
    <t>Black crappie</t>
  </si>
  <si>
    <t>Common carp</t>
  </si>
  <si>
    <t>Golden shiner</t>
  </si>
  <si>
    <t>Repiles and Amphibians</t>
  </si>
  <si>
    <t>Lichens</t>
  </si>
  <si>
    <t>Total Species</t>
  </si>
  <si>
    <t>Total Species:</t>
  </si>
  <si>
    <t>americana</t>
  </si>
  <si>
    <t xml:space="preserve">Comments </t>
  </si>
  <si>
    <t>Centrarchidae</t>
  </si>
  <si>
    <t>Perciformes</t>
  </si>
  <si>
    <t>Osteichthyes</t>
  </si>
  <si>
    <t>non-native</t>
  </si>
  <si>
    <t>Green sunfish</t>
  </si>
  <si>
    <t>Lepomis</t>
  </si>
  <si>
    <t>cyanellus</t>
  </si>
  <si>
    <t>Pumpkinseed</t>
  </si>
  <si>
    <t>gibbosus</t>
  </si>
  <si>
    <t>native</t>
  </si>
  <si>
    <t>Redbreast sunfish</t>
  </si>
  <si>
    <t>auritus</t>
  </si>
  <si>
    <t>Bluegill</t>
  </si>
  <si>
    <t>macrochirus</t>
  </si>
  <si>
    <t>Pomoxis</t>
  </si>
  <si>
    <t>nigromaculatus</t>
  </si>
  <si>
    <t>White perch</t>
  </si>
  <si>
    <t>Morone</t>
  </si>
  <si>
    <t xml:space="preserve">Moronidae </t>
  </si>
  <si>
    <t>Percidae</t>
  </si>
  <si>
    <t>Tessellated darter</t>
  </si>
  <si>
    <t>Etheostoma</t>
  </si>
  <si>
    <t>olmsteadi</t>
  </si>
  <si>
    <t>Ameirus</t>
  </si>
  <si>
    <t>Ictaluridae</t>
  </si>
  <si>
    <t>Siluriformes</t>
  </si>
  <si>
    <t>Cyprinus</t>
  </si>
  <si>
    <t>carpio</t>
  </si>
  <si>
    <t>Cyprinidae</t>
  </si>
  <si>
    <t>Cypriniformes</t>
  </si>
  <si>
    <t>Notemigonus</t>
  </si>
  <si>
    <t>crysoleucas</t>
  </si>
  <si>
    <t>Creek chub</t>
  </si>
  <si>
    <t>Semotilis</t>
  </si>
  <si>
    <t>atromaculatus</t>
  </si>
  <si>
    <t>White sucker</t>
  </si>
  <si>
    <t>Catostomas</t>
  </si>
  <si>
    <t>commersoni</t>
  </si>
  <si>
    <t>Catastomidae</t>
  </si>
  <si>
    <t>Fundulus</t>
  </si>
  <si>
    <t>diaphanus</t>
  </si>
  <si>
    <t>Cyprinodontiformes</t>
  </si>
  <si>
    <t>AAA Scientific Name</t>
  </si>
  <si>
    <t>Common Name</t>
  </si>
  <si>
    <t>Union County BioBlitz 2011: Passaic River Parkway (Berkeley Heights, New Providence &amp; Summit, NJ)</t>
  </si>
  <si>
    <t>Section A</t>
  </si>
  <si>
    <t>Section A-1/B</t>
  </si>
  <si>
    <t>Section B-1</t>
  </si>
  <si>
    <t>Section C</t>
  </si>
  <si>
    <t>Section C-1</t>
  </si>
  <si>
    <t>Section C-2</t>
  </si>
  <si>
    <t>Section C-3</t>
  </si>
  <si>
    <t>Section D</t>
  </si>
  <si>
    <t>Section D-1</t>
  </si>
  <si>
    <t>Section D-2</t>
  </si>
  <si>
    <t>Section D-3</t>
  </si>
  <si>
    <t>Section D-4</t>
  </si>
  <si>
    <t>Section D-5</t>
  </si>
  <si>
    <r>
      <t xml:space="preserve">Aquatic Inverts: Angela Gorzyca                                           </t>
    </r>
    <r>
      <rPr>
        <u/>
        <sz val="16"/>
        <rFont val="Arial"/>
      </rPr>
      <t/>
    </r>
  </si>
  <si>
    <t>Total # Species</t>
  </si>
  <si>
    <t xml:space="preserve">Total </t>
  </si>
  <si>
    <t>Team / Leader: Birds /Ed Zboyan</t>
  </si>
  <si>
    <t>Union County BioBlitz 2011 Passaic River Parkway, Berkeley Heights, New Providence &amp; Summit</t>
  </si>
  <si>
    <t xml:space="preserve">Bio-Blitz 2011, Passaic River Parkway </t>
  </si>
  <si>
    <t>Team / Leader: Fish /Shawn Crouse</t>
  </si>
  <si>
    <t>Passaic River *</t>
  </si>
  <si>
    <t xml:space="preserve">Passaic River Unnamed Tributary Section C3 </t>
  </si>
  <si>
    <t>x</t>
  </si>
  <si>
    <t>Spottail shiner</t>
  </si>
  <si>
    <t>Notropis</t>
  </si>
  <si>
    <t>hudsonius</t>
  </si>
  <si>
    <t>Eastern silvery minnow</t>
  </si>
  <si>
    <t>Hybognathus</t>
  </si>
  <si>
    <t>regius</t>
  </si>
  <si>
    <t>Satinfin shiner</t>
  </si>
  <si>
    <t>Cyprinella</t>
  </si>
  <si>
    <t>analostana</t>
  </si>
  <si>
    <t>Longnose dace</t>
  </si>
  <si>
    <t>Rhinicthys</t>
  </si>
  <si>
    <t>cataractae</t>
  </si>
  <si>
    <t>Blacknose dace</t>
  </si>
  <si>
    <t>atratulus</t>
  </si>
  <si>
    <t>Fundulidae</t>
  </si>
  <si>
    <t>Western mosquitofish</t>
  </si>
  <si>
    <t>Gambisua</t>
  </si>
  <si>
    <t>affinis</t>
  </si>
  <si>
    <t>Poeciliidae</t>
  </si>
  <si>
    <t>Chain pickerel</t>
  </si>
  <si>
    <t>Esox</t>
  </si>
  <si>
    <t>niger</t>
  </si>
  <si>
    <t>Esocidae</t>
  </si>
  <si>
    <t>Esociformes</t>
  </si>
  <si>
    <t>Rainbow trout</t>
  </si>
  <si>
    <t>Oncorhynchus</t>
  </si>
  <si>
    <t>mykiss</t>
  </si>
  <si>
    <t>Salmonidae</t>
  </si>
  <si>
    <t>Salmoniformes</t>
  </si>
  <si>
    <t>Yellow bullhead</t>
  </si>
  <si>
    <t>natalis</t>
  </si>
  <si>
    <t xml:space="preserve">* Fish species were found at several locations within the Passaic River.  Differentiation of individual sections in not warranted as fish species move freely throughout study area. </t>
  </si>
  <si>
    <t>#</t>
  </si>
  <si>
    <t xml:space="preserve">Gray Squirrel  </t>
  </si>
  <si>
    <t>Muskrat</t>
  </si>
  <si>
    <t>Opossum</t>
  </si>
  <si>
    <t>Raccoon</t>
  </si>
  <si>
    <t>Red Fox</t>
  </si>
  <si>
    <t>White Tailed Deer</t>
  </si>
  <si>
    <t xml:space="preserve">Chipmunk </t>
  </si>
  <si>
    <t>striatus</t>
  </si>
  <si>
    <t xml:space="preserve">Sciurus </t>
  </si>
  <si>
    <t>carolinensis</t>
  </si>
  <si>
    <t xml:space="preserve">Ondatra </t>
  </si>
  <si>
    <t>zibethicus</t>
  </si>
  <si>
    <t xml:space="preserve">Didelphis </t>
  </si>
  <si>
    <t>virginiana</t>
  </si>
  <si>
    <t xml:space="preserve">Procyon </t>
  </si>
  <si>
    <t>lotor</t>
  </si>
  <si>
    <t xml:space="preserve">Vulpes </t>
  </si>
  <si>
    <t>vulpes</t>
  </si>
  <si>
    <t xml:space="preserve">Odocoileus </t>
  </si>
  <si>
    <t>virginianus</t>
  </si>
  <si>
    <t>Eastern Cottontail</t>
  </si>
  <si>
    <t>Parchment Fungus</t>
  </si>
  <si>
    <t>False Turkey Tail</t>
  </si>
  <si>
    <t>Purple Polypore</t>
  </si>
  <si>
    <t>Split Gill</t>
  </si>
  <si>
    <t>Eyelash Fungus</t>
  </si>
  <si>
    <t>Ringless Honey</t>
  </si>
  <si>
    <t>Oyster Mushroom</t>
  </si>
  <si>
    <t>Turkey Tail</t>
  </si>
  <si>
    <t>Spring Polypore</t>
  </si>
  <si>
    <t>Leafy Jelly Fungus</t>
  </si>
  <si>
    <t>Oak Canker</t>
  </si>
  <si>
    <t>Artist Conk</t>
  </si>
  <si>
    <t>Dog Vomit Slime Mold</t>
  </si>
  <si>
    <t>Bird's Nest Fungus</t>
  </si>
  <si>
    <t>Platterful Mushroom</t>
  </si>
  <si>
    <t>Crown Coral</t>
  </si>
  <si>
    <t>Dunce Cap</t>
  </si>
  <si>
    <t>Mustard Phellinus</t>
  </si>
  <si>
    <t>Judas' Ear</t>
  </si>
  <si>
    <t>Stereum</t>
  </si>
  <si>
    <t>Trichaptum</t>
  </si>
  <si>
    <t>Schizophyllum</t>
  </si>
  <si>
    <t>Scutellinia</t>
  </si>
  <si>
    <t>Psathyrella</t>
  </si>
  <si>
    <t>Hypoxylon</t>
  </si>
  <si>
    <t>Amanita</t>
  </si>
  <si>
    <t>Armillaria</t>
  </si>
  <si>
    <t>Formtopsis</t>
  </si>
  <si>
    <t>Polyporus</t>
  </si>
  <si>
    <t>Hymenochaete</t>
  </si>
  <si>
    <t>Pluteus</t>
  </si>
  <si>
    <t>Marasmiellus</t>
  </si>
  <si>
    <t>Pleurotus</t>
  </si>
  <si>
    <t>Ganoderma</t>
  </si>
  <si>
    <t>Trametes</t>
  </si>
  <si>
    <t>Tremella</t>
  </si>
  <si>
    <t>Fuligo</t>
  </si>
  <si>
    <t>Crucibulum</t>
  </si>
  <si>
    <t>Megacollybia</t>
  </si>
  <si>
    <t>Clavicorona</t>
  </si>
  <si>
    <t>Russula</t>
  </si>
  <si>
    <t>Conocybe</t>
  </si>
  <si>
    <t>Phellinus</t>
  </si>
  <si>
    <t>Auricularia</t>
  </si>
  <si>
    <t>auricula</t>
  </si>
  <si>
    <t>Agrocybe</t>
  </si>
  <si>
    <t>Arcyria</t>
  </si>
  <si>
    <t>complicatum</t>
  </si>
  <si>
    <t>ostrea</t>
  </si>
  <si>
    <t>biforme</t>
  </si>
  <si>
    <t>commune</t>
  </si>
  <si>
    <t>scutellata</t>
  </si>
  <si>
    <t>candoleana</t>
  </si>
  <si>
    <t>fragiforme</t>
  </si>
  <si>
    <t>flavorubens</t>
  </si>
  <si>
    <t>tabescens</t>
  </si>
  <si>
    <t>spraguei</t>
  </si>
  <si>
    <t>alveolaris</t>
  </si>
  <si>
    <t>rubiginosa</t>
  </si>
  <si>
    <t>petasatus</t>
  </si>
  <si>
    <t>candidus</t>
  </si>
  <si>
    <t>ostreatus</t>
  </si>
  <si>
    <t>applanatum</t>
  </si>
  <si>
    <t>versicolor</t>
  </si>
  <si>
    <t>arcularis</t>
  </si>
  <si>
    <t>foliacea</t>
  </si>
  <si>
    <t>cf. atropunctatum</t>
  </si>
  <si>
    <t>septica</t>
  </si>
  <si>
    <t>laeve</t>
  </si>
  <si>
    <t>platyphylla</t>
  </si>
  <si>
    <t>pyxidata</t>
  </si>
  <si>
    <t>mariae</t>
  </si>
  <si>
    <t>sp</t>
  </si>
  <si>
    <t>lactea</t>
  </si>
  <si>
    <t>ramealis</t>
  </si>
  <si>
    <t>gilvus</t>
  </si>
  <si>
    <t>pediades</t>
  </si>
  <si>
    <t>brunnescens</t>
  </si>
  <si>
    <t>cinerea</t>
  </si>
  <si>
    <t>Stereaceae</t>
  </si>
  <si>
    <t>Russulales</t>
  </si>
  <si>
    <t>Basidiomycota</t>
  </si>
  <si>
    <t>Polyporaceae</t>
  </si>
  <si>
    <t>Polyporales</t>
  </si>
  <si>
    <t>Schizophyllaceae</t>
  </si>
  <si>
    <t>Schizophyllales</t>
  </si>
  <si>
    <t>Pyrenomataceae</t>
  </si>
  <si>
    <t>Pezizales</t>
  </si>
  <si>
    <t>Pezizomycetes</t>
  </si>
  <si>
    <t>Ascomycota</t>
  </si>
  <si>
    <t>Slime Mold</t>
  </si>
  <si>
    <t>Psathyrellaceae</t>
  </si>
  <si>
    <t>Xylariaceae</t>
  </si>
  <si>
    <t>Amanitaceae or Pluteaceae</t>
  </si>
  <si>
    <t>Physalacriaceae</t>
  </si>
  <si>
    <t>Fomitopsidaceae</t>
  </si>
  <si>
    <t>Hymenochaetaceae</t>
  </si>
  <si>
    <t>Pluteaceae</t>
  </si>
  <si>
    <t>Maramiaceae</t>
  </si>
  <si>
    <t>Pleurotaceae</t>
  </si>
  <si>
    <t>Ganodermataceae</t>
  </si>
  <si>
    <t>Tremellaceae</t>
  </si>
  <si>
    <t>Agaricaceae</t>
  </si>
  <si>
    <t>Tricholomataceae</t>
  </si>
  <si>
    <t>Auriscalpioceae</t>
  </si>
  <si>
    <t>Russulaceae</t>
  </si>
  <si>
    <t>Bolbitiaceae</t>
  </si>
  <si>
    <t>Auriculariaceae</t>
  </si>
  <si>
    <t>Agaricales</t>
  </si>
  <si>
    <t>Xylariales</t>
  </si>
  <si>
    <t>Agarico</t>
  </si>
  <si>
    <t>Agaricomycetes</t>
  </si>
  <si>
    <t>Sordariomycetes</t>
  </si>
  <si>
    <t>Tremellomycetes</t>
  </si>
  <si>
    <t>Hymenochaetales</t>
  </si>
  <si>
    <t>Tremellales</t>
  </si>
  <si>
    <t>Auriculariales</t>
  </si>
  <si>
    <t>American Crow</t>
  </si>
  <si>
    <t>American Goldfinch</t>
  </si>
  <si>
    <t>American Robin</t>
  </si>
  <si>
    <t>Baltimore Oriole</t>
  </si>
  <si>
    <t>Barn Swallow</t>
  </si>
  <si>
    <t>Barred Owl</t>
  </si>
  <si>
    <t>Belted Kingfisher</t>
  </si>
  <si>
    <t>Black Capped Chickadee</t>
  </si>
  <si>
    <t>Blue Jay</t>
  </si>
  <si>
    <t>Blue-gray Gnatcatcher</t>
  </si>
  <si>
    <t>Brown-headed Cowbird</t>
  </si>
  <si>
    <t>Canada Goose</t>
  </si>
  <si>
    <t>Carolina Wren</t>
  </si>
  <si>
    <t>Cedar Waxwing</t>
  </si>
  <si>
    <t>Chimmney Swift</t>
  </si>
  <si>
    <t>Chipping Sparrow</t>
  </si>
  <si>
    <t>Commen Grackle</t>
  </si>
  <si>
    <t>Commen Yellowthroat</t>
  </si>
  <si>
    <t>Double Crested Cormorant</t>
  </si>
  <si>
    <t>Downy Woodpecker</t>
  </si>
  <si>
    <t>Eastern Kingbird</t>
  </si>
  <si>
    <t>Eastern Phoebe</t>
  </si>
  <si>
    <t>Eastern Screech Owl</t>
  </si>
  <si>
    <t>Eastern Wood-Pewee</t>
  </si>
  <si>
    <t>European Starling</t>
  </si>
  <si>
    <t>Fish Crow</t>
  </si>
  <si>
    <t>Gray Catbird</t>
  </si>
  <si>
    <t>Great Blue Heron</t>
  </si>
  <si>
    <t>Great Crested Flycatcher</t>
  </si>
  <si>
    <t>Great Egret</t>
  </si>
  <si>
    <t>Great Horned Owl</t>
  </si>
  <si>
    <t>Green Heron</t>
  </si>
  <si>
    <t>Hairy Woodpecker</t>
  </si>
  <si>
    <t>House Finch</t>
  </si>
  <si>
    <t>House Sparrow</t>
  </si>
  <si>
    <t>House Wren</t>
  </si>
  <si>
    <t>Indigo Bunting</t>
  </si>
  <si>
    <t>Killdeer</t>
  </si>
  <si>
    <t>Mallard</t>
  </si>
  <si>
    <t>Mourning Dove</t>
  </si>
  <si>
    <t>Northern Cardinal</t>
  </si>
  <si>
    <t>Northern Flicker</t>
  </si>
  <si>
    <t>Northern Mockingbird</t>
  </si>
  <si>
    <t>Corvus</t>
  </si>
  <si>
    <t>brachyrhynchos</t>
  </si>
  <si>
    <t>Corvidae</t>
  </si>
  <si>
    <t>Passeriformes</t>
  </si>
  <si>
    <t>Aves</t>
  </si>
  <si>
    <t>Carduelis</t>
  </si>
  <si>
    <t>tristis</t>
  </si>
  <si>
    <t>Fringillidae</t>
  </si>
  <si>
    <t>Turdus</t>
  </si>
  <si>
    <t>migratorius</t>
  </si>
  <si>
    <t>Muscicapidae</t>
  </si>
  <si>
    <t>Icterus</t>
  </si>
  <si>
    <t xml:space="preserve">galbula </t>
  </si>
  <si>
    <t>Emberizinae</t>
  </si>
  <si>
    <t>Hirundo</t>
  </si>
  <si>
    <t>rustica</t>
  </si>
  <si>
    <t>Hirundinidae</t>
  </si>
  <si>
    <t>Strix</t>
  </si>
  <si>
    <t>varia</t>
  </si>
  <si>
    <t>Strigdae</t>
  </si>
  <si>
    <t>Ceryle</t>
  </si>
  <si>
    <t>alcyon</t>
  </si>
  <si>
    <t>Alcedinidae</t>
  </si>
  <si>
    <t>Poecile</t>
  </si>
  <si>
    <t>atricapilla</t>
  </si>
  <si>
    <t>Paridae</t>
  </si>
  <si>
    <t>Cyanocitta</t>
  </si>
  <si>
    <t>cristata</t>
  </si>
  <si>
    <t>Polioptila</t>
  </si>
  <si>
    <t>caerulea</t>
  </si>
  <si>
    <t>Molothrus</t>
  </si>
  <si>
    <t>ater</t>
  </si>
  <si>
    <t>Branta</t>
  </si>
  <si>
    <t>canadensis</t>
  </si>
  <si>
    <t>Anatidae</t>
  </si>
  <si>
    <t>Anseriformes</t>
  </si>
  <si>
    <t>Thyrothous</t>
  </si>
  <si>
    <t>ludovicianus</t>
  </si>
  <si>
    <t>Troglodytidae</t>
  </si>
  <si>
    <t>Bombycilla</t>
  </si>
  <si>
    <t>cedrorum</t>
  </si>
  <si>
    <t>Bombycillidae</t>
  </si>
  <si>
    <t>Chaetura</t>
  </si>
  <si>
    <t>pleagica</t>
  </si>
  <si>
    <t>Apodiadae</t>
  </si>
  <si>
    <t>Apodiformes</t>
  </si>
  <si>
    <t>Spizella</t>
  </si>
  <si>
    <t>passerina</t>
  </si>
  <si>
    <t>Emberizidae</t>
  </si>
  <si>
    <t>Quiscalus</t>
  </si>
  <si>
    <t>quiscula</t>
  </si>
  <si>
    <t>Geothlypis</t>
  </si>
  <si>
    <t>trichas</t>
  </si>
  <si>
    <t>Phalacrocorax</t>
  </si>
  <si>
    <t>Phalacrocrax</t>
  </si>
  <si>
    <t>Pelecaniformes</t>
  </si>
  <si>
    <t>Picoides</t>
  </si>
  <si>
    <t>pubescens</t>
  </si>
  <si>
    <t>Picidae</t>
  </si>
  <si>
    <t>Piciforms</t>
  </si>
  <si>
    <t>Tyrannus</t>
  </si>
  <si>
    <t>tyrannus</t>
  </si>
  <si>
    <t>Tyrannidae</t>
  </si>
  <si>
    <t>Sayornis</t>
  </si>
  <si>
    <t>phorbe</t>
  </si>
  <si>
    <t>Otus</t>
  </si>
  <si>
    <t>asio</t>
  </si>
  <si>
    <t>Strigidae</t>
  </si>
  <si>
    <t>Cantopus</t>
  </si>
  <si>
    <t>virens</t>
  </si>
  <si>
    <t>Sturnus</t>
  </si>
  <si>
    <t>vulgaris</t>
  </si>
  <si>
    <t>Sturnidae</t>
  </si>
  <si>
    <t>ossifragus</t>
  </si>
  <si>
    <t>Dumetella</t>
  </si>
  <si>
    <t>Mimidae</t>
  </si>
  <si>
    <t>Ardea</t>
  </si>
  <si>
    <t>herodias</t>
  </si>
  <si>
    <t>Ardeidae</t>
  </si>
  <si>
    <t>Ciconiiformes</t>
  </si>
  <si>
    <t>Myiarchus</t>
  </si>
  <si>
    <t>crinitus</t>
  </si>
  <si>
    <t>Tryannidae</t>
  </si>
  <si>
    <t>alba</t>
  </si>
  <si>
    <t>Bubo</t>
  </si>
  <si>
    <t>Butorides</t>
  </si>
  <si>
    <t>virescens</t>
  </si>
  <si>
    <t>villosus</t>
  </si>
  <si>
    <t>Carpodacus</t>
  </si>
  <si>
    <t>mexicanus</t>
  </si>
  <si>
    <t>Passer</t>
  </si>
  <si>
    <t>domesticus</t>
  </si>
  <si>
    <t>Passeridae</t>
  </si>
  <si>
    <t>Troglodytes</t>
  </si>
  <si>
    <t>aedon</t>
  </si>
  <si>
    <t>Passerina</t>
  </si>
  <si>
    <t>cyanea</t>
  </si>
  <si>
    <t>Cardinalidae</t>
  </si>
  <si>
    <t>Charadrius</t>
  </si>
  <si>
    <t>vociferus</t>
  </si>
  <si>
    <t>Charadriidae</t>
  </si>
  <si>
    <t>Charadriiforms</t>
  </si>
  <si>
    <t>Anas</t>
  </si>
  <si>
    <t>platyrhynchos</t>
  </si>
  <si>
    <t>Zenaida</t>
  </si>
  <si>
    <t>macroura</t>
  </si>
  <si>
    <t>Columbidae</t>
  </si>
  <si>
    <t>Columbiformes</t>
  </si>
  <si>
    <t>Cardinalis</t>
  </si>
  <si>
    <t>cardinalis</t>
  </si>
  <si>
    <t>Colaptes</t>
  </si>
  <si>
    <t>ayratus</t>
  </si>
  <si>
    <t>Mimus</t>
  </si>
  <si>
    <t>polyglottos</t>
  </si>
  <si>
    <t>Red Bellied Woodpecker</t>
  </si>
  <si>
    <t>Melanerpes</t>
  </si>
  <si>
    <t>carolinus</t>
  </si>
  <si>
    <t>Red-eyed Vireo</t>
  </si>
  <si>
    <t>Viero</t>
  </si>
  <si>
    <t>olivaceus</t>
  </si>
  <si>
    <t>Vieronidae</t>
  </si>
  <si>
    <t>Red Tailed Hawk</t>
  </si>
  <si>
    <t>Buteo</t>
  </si>
  <si>
    <t>jamaicens</t>
  </si>
  <si>
    <t>Buteoninae</t>
  </si>
  <si>
    <t>Falconiformes</t>
  </si>
  <si>
    <t>Red-winged Blackbird</t>
  </si>
  <si>
    <t xml:space="preserve">Agelaius </t>
  </si>
  <si>
    <t>phoeniceus</t>
  </si>
  <si>
    <t>Rock Pigeon</t>
  </si>
  <si>
    <t>Columba</t>
  </si>
  <si>
    <t>livia</t>
  </si>
  <si>
    <t>Scarlet Tanager</t>
  </si>
  <si>
    <t>Piranga</t>
  </si>
  <si>
    <t>olivacea</t>
  </si>
  <si>
    <t>Thraupidae</t>
  </si>
  <si>
    <t>Snowy Egret</t>
  </si>
  <si>
    <t>Egretta</t>
  </si>
  <si>
    <t>thula</t>
  </si>
  <si>
    <t>Song Sparrow</t>
  </si>
  <si>
    <t>Melospiza</t>
  </si>
  <si>
    <t>melodia</t>
  </si>
  <si>
    <t>Tree Swallow</t>
  </si>
  <si>
    <t>Tachcineta</t>
  </si>
  <si>
    <t>bicolor</t>
  </si>
  <si>
    <t>Tufted Titmouse</t>
  </si>
  <si>
    <t>Baeolophus</t>
  </si>
  <si>
    <t>Turkey Vulture</t>
  </si>
  <si>
    <t>Cathartes</t>
  </si>
  <si>
    <t>aura</t>
  </si>
  <si>
    <t>Cathartidae</t>
  </si>
  <si>
    <t>Warbling Vireo</t>
  </si>
  <si>
    <t>Vireo</t>
  </si>
  <si>
    <t>Vironidae</t>
  </si>
  <si>
    <t>White Breasted Nuthatch</t>
  </si>
  <si>
    <t>Sitta</t>
  </si>
  <si>
    <t>Sittidae</t>
  </si>
  <si>
    <t>Wood Duck</t>
  </si>
  <si>
    <t>Aix</t>
  </si>
  <si>
    <t>sponsa</t>
  </si>
  <si>
    <t>Wood Thrush</t>
  </si>
  <si>
    <t>Hylocichla</t>
  </si>
  <si>
    <t>mustelina</t>
  </si>
  <si>
    <t>Yellow-billed Cuckoo</t>
  </si>
  <si>
    <t>Coccyzus</t>
  </si>
  <si>
    <t>americanus</t>
  </si>
  <si>
    <t>Cuculidae</t>
  </si>
  <si>
    <t>Yellow Warbler</t>
  </si>
  <si>
    <t>Dendroica</t>
  </si>
  <si>
    <t>petechia</t>
  </si>
  <si>
    <r>
      <t xml:space="preserve"> </t>
    </r>
    <r>
      <rPr>
        <b/>
        <sz val="12"/>
        <rFont val="Arial"/>
        <family val="2"/>
      </rPr>
      <t>A</t>
    </r>
    <r>
      <rPr>
        <b/>
        <sz val="9"/>
        <rFont val="Arial"/>
      </rPr>
      <t xml:space="preserve">: Berkeley Heights, </t>
    </r>
    <r>
      <rPr>
        <b/>
        <sz val="12"/>
        <rFont val="Arial"/>
        <family val="2"/>
      </rPr>
      <t>B</t>
    </r>
    <r>
      <rPr>
        <b/>
        <sz val="9"/>
        <rFont val="Arial"/>
      </rPr>
      <t xml:space="preserve">: Brekeley Heights,  </t>
    </r>
    <r>
      <rPr>
        <b/>
        <sz val="12"/>
        <rFont val="Arial"/>
        <family val="2"/>
      </rPr>
      <t>C</t>
    </r>
    <r>
      <rPr>
        <b/>
        <sz val="9"/>
        <rFont val="Arial"/>
      </rPr>
      <t xml:space="preserve">: New Providence, D: Summit </t>
    </r>
  </si>
  <si>
    <t>Total Species: 60</t>
  </si>
  <si>
    <t>Lichen</t>
  </si>
  <si>
    <t>Green Sheild Lichen</t>
  </si>
  <si>
    <t>Lemon Lichen</t>
  </si>
  <si>
    <t>Hammered Shield Lichen</t>
  </si>
  <si>
    <t>Rough Speckled Lichen</t>
  </si>
  <si>
    <t>Mealy Rosette Lichen</t>
  </si>
  <si>
    <t>Powdery Rosette Lichen Physcia Americana</t>
  </si>
  <si>
    <t>Powdered Ruffle Lichen Parmotrema</t>
  </si>
  <si>
    <t>Ascomycetes</t>
  </si>
  <si>
    <t>Net Spinning Caddisfly</t>
  </si>
  <si>
    <t>Mayfly</t>
  </si>
  <si>
    <t>Aquatic Worm</t>
  </si>
  <si>
    <t>Blackfly Larvae</t>
  </si>
  <si>
    <t>Crayfish</t>
  </si>
  <si>
    <t>Freshwater Clams</t>
  </si>
  <si>
    <t>Scuds</t>
  </si>
  <si>
    <t>Riffle Beetle</t>
  </si>
  <si>
    <t>Midgefly Larvae</t>
  </si>
  <si>
    <t>Flat Worm</t>
  </si>
  <si>
    <t>Sowbug</t>
  </si>
  <si>
    <t>Damselfly</t>
  </si>
  <si>
    <t>Cranefly</t>
  </si>
  <si>
    <t>Midge</t>
  </si>
  <si>
    <t>Lunged Snail</t>
  </si>
  <si>
    <t>Hydopsychindae</t>
  </si>
  <si>
    <t>Trichoptera</t>
  </si>
  <si>
    <t>Ephemeroptera</t>
  </si>
  <si>
    <t>Simuliidae</t>
  </si>
  <si>
    <t>Diptera</t>
  </si>
  <si>
    <t>Planaridae</t>
  </si>
  <si>
    <t>Turbellaria</t>
  </si>
  <si>
    <t>Decapoda</t>
  </si>
  <si>
    <t>Malacostraca</t>
  </si>
  <si>
    <t>Arthropoda</t>
  </si>
  <si>
    <t>Subclass: Pulmonata</t>
  </si>
  <si>
    <t>Gastropoda</t>
  </si>
  <si>
    <t>Chironomidae</t>
  </si>
  <si>
    <t>Oligocheala</t>
  </si>
  <si>
    <t>Oligochaeta</t>
  </si>
  <si>
    <t>Tipulidae</t>
  </si>
  <si>
    <t>Suborder: Zygotera</t>
  </si>
  <si>
    <t>Odonata</t>
  </si>
  <si>
    <t>Isopoda</t>
  </si>
  <si>
    <t>Coleoptera</t>
  </si>
  <si>
    <t>Amphipoda</t>
  </si>
  <si>
    <t>Bivakva</t>
  </si>
  <si>
    <t>Molluska</t>
  </si>
  <si>
    <t>Tamius</t>
  </si>
  <si>
    <t>Groundhog</t>
  </si>
  <si>
    <t>Northern Brown Snake</t>
  </si>
  <si>
    <t>Garter Snake</t>
  </si>
  <si>
    <t>American Toad</t>
  </si>
  <si>
    <t>Red back Salamander</t>
  </si>
  <si>
    <t>Gray Treefrog</t>
  </si>
  <si>
    <t>Snapping Turtle</t>
  </si>
  <si>
    <t>Storia</t>
  </si>
  <si>
    <t>Thamnophis</t>
  </si>
  <si>
    <t>Bufo</t>
  </si>
  <si>
    <t>Plethodon</t>
  </si>
  <si>
    <t>Hyla</t>
  </si>
  <si>
    <t>Chelydra</t>
  </si>
  <si>
    <t>dekayi</t>
  </si>
  <si>
    <t>sirtilos</t>
  </si>
  <si>
    <t>cinerus</t>
  </si>
  <si>
    <t>serpentina</t>
  </si>
  <si>
    <t>Colubridae</t>
  </si>
  <si>
    <t>Bufonidae</t>
  </si>
  <si>
    <t>Plethodonidae</t>
  </si>
  <si>
    <t>Hylidae</t>
  </si>
  <si>
    <t>Chelydradae</t>
  </si>
  <si>
    <t>Squamata</t>
  </si>
  <si>
    <t>Anura</t>
  </si>
  <si>
    <t>Caudata</t>
  </si>
  <si>
    <t>Chelonia</t>
  </si>
  <si>
    <t>Reptilia</t>
  </si>
  <si>
    <t>Amphibia</t>
  </si>
  <si>
    <t>Total Species: 6</t>
  </si>
  <si>
    <t>Acalypha</t>
  </si>
  <si>
    <t>A Three-seeded Mercury</t>
  </si>
  <si>
    <t>Acer negundo L.</t>
  </si>
  <si>
    <t>Ash-leaved Maple or Box Elder</t>
  </si>
  <si>
    <t>Acer platanoides L.</t>
  </si>
  <si>
    <t>Norway Maple</t>
  </si>
  <si>
    <t>Acer rubrum L.</t>
  </si>
  <si>
    <t>Red Maple</t>
  </si>
  <si>
    <t>Acer saccharinum L.</t>
  </si>
  <si>
    <t>Silver Maple</t>
  </si>
  <si>
    <t>Acer saccharum Marsh.</t>
  </si>
  <si>
    <t>Sugar Maple</t>
  </si>
  <si>
    <t>Achillea millefolium L.</t>
  </si>
  <si>
    <t>Yarrow or Milfoil</t>
  </si>
  <si>
    <t>Actaea pachypoda Ell.</t>
  </si>
  <si>
    <t>Doll's Eyes or White Baneberry</t>
  </si>
  <si>
    <t>Ageratina altissima (L.) King &amp; H.E. Robins.</t>
  </si>
  <si>
    <t>White Snakeroot</t>
  </si>
  <si>
    <t>Ailanthus altissima (Mill.) Swingle</t>
  </si>
  <si>
    <t>Ailanthus or Tree-of-Heaven</t>
  </si>
  <si>
    <t>Alliaria petiolata (Bieb.) Cav. &amp; Grande</t>
  </si>
  <si>
    <t>Garlic Mustard</t>
  </si>
  <si>
    <t>Allium canadense L.</t>
  </si>
  <si>
    <t>Wild Onion or Wild Garlic</t>
  </si>
  <si>
    <t>Allium vineale L.</t>
  </si>
  <si>
    <t>Field Garlic or Onion Grass</t>
  </si>
  <si>
    <t>Alnus serrulata (Dryand. ex Ait.) Willd.</t>
  </si>
  <si>
    <t>Smooth Alder</t>
  </si>
  <si>
    <t>Ambrosia artemisiifolia L.</t>
  </si>
  <si>
    <t>Common Ragweed</t>
  </si>
  <si>
    <t>Ampelopsis brevipedunculata (Maxim.) Trautv.</t>
  </si>
  <si>
    <t>Porcelain Berry</t>
  </si>
  <si>
    <t>Amphicarpaea bracteata (L.) Rickett &amp; Stafleu</t>
  </si>
  <si>
    <t>Hog Peanut</t>
  </si>
  <si>
    <t>Anemone quinquefolia</t>
  </si>
  <si>
    <t>Wood Anemone or Wind Flower</t>
  </si>
  <si>
    <t>Anthoxanthum odoratum L.</t>
  </si>
  <si>
    <t>Sweet Vernal Grass</t>
  </si>
  <si>
    <t>Apios americana Medik.</t>
  </si>
  <si>
    <t>Groundnut</t>
  </si>
  <si>
    <t>Apocynum cannabinum L.</t>
  </si>
  <si>
    <t>Common Dogbane or Indian Hemp</t>
  </si>
  <si>
    <t>Arctium minus (Hill) Bernh.</t>
  </si>
  <si>
    <t>Common Burdock</t>
  </si>
  <si>
    <t>Arenaria serpyllifolia L.</t>
  </si>
  <si>
    <t>Thyme-leaved Sandwort</t>
  </si>
  <si>
    <t>Arisaema dracontium (L.) Schott ex Schott &amp; Endl.</t>
  </si>
  <si>
    <t>Green Dragon</t>
  </si>
  <si>
    <t>Arisaema triphyllum (L.) Schott ex Schott &amp; Endl.</t>
  </si>
  <si>
    <t>Jack-in-the-Pulpit</t>
  </si>
  <si>
    <t>Artemisia vulgaris L.</t>
  </si>
  <si>
    <t>Common Mugwort</t>
  </si>
  <si>
    <t>Asarum canadense</t>
  </si>
  <si>
    <t>Wild Ginger</t>
  </si>
  <si>
    <t>Asclepias incarnata</t>
  </si>
  <si>
    <t>Swamp Milkweed</t>
  </si>
  <si>
    <t>Asclepias syriaca L.</t>
  </si>
  <si>
    <t>Common Milkweed</t>
  </si>
  <si>
    <t>Athyrium filix-femina (L.) Roth ex Mertens</t>
  </si>
  <si>
    <t>Lady Fern</t>
  </si>
  <si>
    <t>Barbarea vulgaris R. Br. ex Ait.</t>
  </si>
  <si>
    <t>Common Winter Cress or Yellow Rocket</t>
  </si>
  <si>
    <t>Berberis thunbergii</t>
  </si>
  <si>
    <t>Japanese Barberry</t>
  </si>
  <si>
    <t>Betula lenta L.</t>
  </si>
  <si>
    <t>Sweet or Black or Cherry Birch</t>
  </si>
  <si>
    <t>Betula nigra L.</t>
  </si>
  <si>
    <t>River Birch</t>
  </si>
  <si>
    <t>Bidens</t>
  </si>
  <si>
    <t>A Begger's Trick</t>
  </si>
  <si>
    <t>Boehmeria cylindrica (L.) Sw.</t>
  </si>
  <si>
    <t>False Nettle</t>
  </si>
  <si>
    <t>Botrychium virginianum (L.) Sw.</t>
  </si>
  <si>
    <t>Rattlesnake Fern</t>
  </si>
  <si>
    <t>Callitriche L.</t>
  </si>
  <si>
    <t>A Water Starwort</t>
  </si>
  <si>
    <t>Calystegia sepium</t>
  </si>
  <si>
    <t>Hedge Bindweed</t>
  </si>
  <si>
    <t>Cardamine impatiens L.</t>
  </si>
  <si>
    <t>Warrowleaf Bittercress</t>
  </si>
  <si>
    <t>Cardamine pratensis L.</t>
  </si>
  <si>
    <t>Cuccoflower</t>
  </si>
  <si>
    <t>Carex amphibola Steud.</t>
  </si>
  <si>
    <t>Eastern Narrowleaf Sedge</t>
  </si>
  <si>
    <t>Carex crinita Lam.</t>
  </si>
  <si>
    <t>Fringed Sedge</t>
  </si>
  <si>
    <t>Carex grayi Carey</t>
  </si>
  <si>
    <t>Gray's Sedge</t>
  </si>
  <si>
    <t>Carex intumescens Rudge</t>
  </si>
  <si>
    <t>Greater Bladder Sedge</t>
  </si>
  <si>
    <t>Carex L.</t>
  </si>
  <si>
    <t>A Sedge</t>
  </si>
  <si>
    <t>Carex lupulina Muhl. ex Willd.</t>
  </si>
  <si>
    <t>Hop Sedge</t>
  </si>
  <si>
    <t>Carex lurida Wahl.</t>
  </si>
  <si>
    <t>Shallow Sedge</t>
  </si>
  <si>
    <t>Carex pensylvanica Lam.</t>
  </si>
  <si>
    <t>Pennsylvanian Sedge</t>
  </si>
  <si>
    <t>Carex prasina Wahl.</t>
  </si>
  <si>
    <t>Drooping Sedge</t>
  </si>
  <si>
    <t>Carex radiata (Wahl.) Small</t>
  </si>
  <si>
    <t>Eastern Star Sedge</t>
  </si>
  <si>
    <t>Carex rosea Schkuhr ex Willd.</t>
  </si>
  <si>
    <t>Rosy Sedge</t>
  </si>
  <si>
    <t>Carex squarrosa L.</t>
  </si>
  <si>
    <t>Squarrose Sedge</t>
  </si>
  <si>
    <t>Carex stipata Muhl. ex Willd.</t>
  </si>
  <si>
    <t>Awlfruit Sedge</t>
  </si>
  <si>
    <t>Carex stricta Lam.</t>
  </si>
  <si>
    <t>Upright Sedge</t>
  </si>
  <si>
    <t>Carex swanii (Fern.) Mackz.</t>
  </si>
  <si>
    <t>Swan's Sedge</t>
  </si>
  <si>
    <t>Carex vulpinoidea Michx.</t>
  </si>
  <si>
    <t>Fox Sedge</t>
  </si>
  <si>
    <t>Carpinus caroliniana Walt.</t>
  </si>
  <si>
    <t>American Hornbeam, Ironwood, Musclewood, Blue Beach</t>
  </si>
  <si>
    <t>Carya cordiformis (Wang.) Koch</t>
  </si>
  <si>
    <t>Bitternut Hickory</t>
  </si>
  <si>
    <t>Carya ovata (Mill.) Koch</t>
  </si>
  <si>
    <t>Shagbark Hickory</t>
  </si>
  <si>
    <t>Catalpa bignonioides Walt.</t>
  </si>
  <si>
    <t>Southern Catalpa or Southern Indian Cigar Tree</t>
  </si>
  <si>
    <t>Celastrus orbiculata Thunb.</t>
  </si>
  <si>
    <t>Asiatic Bittersweet</t>
  </si>
  <si>
    <t>Cerastium fontanum</t>
  </si>
  <si>
    <t>Mouse-ear Chickweed</t>
  </si>
  <si>
    <t>Chamaesyce maculata (L.) Small</t>
  </si>
  <si>
    <t>Milk Purslane or Spotted Spurge</t>
  </si>
  <si>
    <t>Chelone glabra L.</t>
  </si>
  <si>
    <t>Turtlehead</t>
  </si>
  <si>
    <t>Chenopodium album L.</t>
  </si>
  <si>
    <t>Lamb's Quarters</t>
  </si>
  <si>
    <t>Chimaphila maculata (L.) Pursh</t>
  </si>
  <si>
    <t>Striped or Spotted Wintergreen</t>
  </si>
  <si>
    <t>Cichorium intybus L.</t>
  </si>
  <si>
    <t>Chicory or Ragged Sailors</t>
  </si>
  <si>
    <t>Cicuta maculata L.</t>
  </si>
  <si>
    <t>Water Hemlock or Spotted Cowbane</t>
  </si>
  <si>
    <t>Circaea lutetiana L.</t>
  </si>
  <si>
    <t>Common Enchanter's Nightshade</t>
  </si>
  <si>
    <t>Cirsium arvense (L.) Scop.</t>
  </si>
  <si>
    <t>Canada Thistle</t>
  </si>
  <si>
    <t>Cirsium vulgare</t>
  </si>
  <si>
    <t>Bull Thistle</t>
  </si>
  <si>
    <t>Claytonia virginica</t>
  </si>
  <si>
    <t>Spring Beauty</t>
  </si>
  <si>
    <t>Clethra alnifolia L.</t>
  </si>
  <si>
    <t>Sweet Pepperbush</t>
  </si>
  <si>
    <t>Collinsonia canadensis L.</t>
  </si>
  <si>
    <t>Horse Balm</t>
  </si>
  <si>
    <t>Commelina communis L.</t>
  </si>
  <si>
    <t>Asiatic Dayflower</t>
  </si>
  <si>
    <t>Convallaria majalis</t>
  </si>
  <si>
    <t>Lily-of-the-Valley</t>
  </si>
  <si>
    <t>Conyza canadensis (L.) Cronq.</t>
  </si>
  <si>
    <t>Horseweed</t>
  </si>
  <si>
    <t>Cornus amomum Mill.</t>
  </si>
  <si>
    <t>Silky Dogwood</t>
  </si>
  <si>
    <t>Cornus florida L.</t>
  </si>
  <si>
    <t>Flowering Dogwood</t>
  </si>
  <si>
    <t>Crataegus L.</t>
  </si>
  <si>
    <t>A Hawthorn</t>
  </si>
  <si>
    <t>Crataegus punctata</t>
  </si>
  <si>
    <t>Dotted Hawthorn</t>
  </si>
  <si>
    <t>Cryptotaenia canadensis (L.) DC.</t>
  </si>
  <si>
    <t>Honewort</t>
  </si>
  <si>
    <t>Dactylis glomerata L.</t>
  </si>
  <si>
    <t>Orchard Grass</t>
  </si>
  <si>
    <t>Daucus carota L.</t>
  </si>
  <si>
    <t>Wild Carrot or Queen Anne's Lace</t>
  </si>
  <si>
    <t>Dennstaedtia punctilobula (Michx.) Moore</t>
  </si>
  <si>
    <t>Hay-scented Fern</t>
  </si>
  <si>
    <t>Dianthus armeria L.</t>
  </si>
  <si>
    <t>Deptford Pink</t>
  </si>
  <si>
    <t>Dichanthelium clandestinum (L.) Gould</t>
  </si>
  <si>
    <t>Deertongue Grass</t>
  </si>
  <si>
    <t>Dioscorea villosa L.</t>
  </si>
  <si>
    <t>Wild Yamroot</t>
  </si>
  <si>
    <t>Duchesnea indica</t>
  </si>
  <si>
    <t>Indian Strawberry</t>
  </si>
  <si>
    <t>Dryopteris intermedia (Muhl. ex Willd.) A. Gray</t>
  </si>
  <si>
    <t>Evergreen Woodfern or Fancy Woodfern</t>
  </si>
  <si>
    <t>Elaeagnus angustifolia</t>
  </si>
  <si>
    <t>Russian Olive</t>
  </si>
  <si>
    <t>Epipactis helleborine</t>
  </si>
  <si>
    <t>Helleborine</t>
  </si>
  <si>
    <t>Equisetum arvense L.</t>
  </si>
  <si>
    <t>Field Horsetail</t>
  </si>
  <si>
    <t>Erechtites hieracifolia (L.) Raf. ex DC.</t>
  </si>
  <si>
    <t>Pilewort</t>
  </si>
  <si>
    <t>Erigeron</t>
  </si>
  <si>
    <t>A Fleabane</t>
  </si>
  <si>
    <t>Euonymus alatus (Thunb.) Siebold</t>
  </si>
  <si>
    <t>Winged Euonymus or Winged Burning Bush</t>
  </si>
  <si>
    <t>Euonymus fortunei (Turcz.) Hand.</t>
  </si>
  <si>
    <t>Chinese Spidle Tree</t>
  </si>
  <si>
    <t>Eurybia divaricata (L.) Nesom</t>
  </si>
  <si>
    <t>White Wood Aster</t>
  </si>
  <si>
    <t>Fagus grandifolia Ehrh.</t>
  </si>
  <si>
    <t>American Beech</t>
  </si>
  <si>
    <t>Fallopia japonica (Houttuyn) Ronse Decraene</t>
  </si>
  <si>
    <t>Japanese Knotweed</t>
  </si>
  <si>
    <t>Fraxinus americana L.</t>
  </si>
  <si>
    <t>White Ash</t>
  </si>
  <si>
    <t>Fraxinus pennsylvanica Marsh.</t>
  </si>
  <si>
    <t>Green Ash</t>
  </si>
  <si>
    <t>Galinsoga Ruiz &amp; Pavón</t>
  </si>
  <si>
    <t>A Galinsoga or Quickweed</t>
  </si>
  <si>
    <t>Galium aparine L.</t>
  </si>
  <si>
    <t>Cleavers</t>
  </si>
  <si>
    <t>Galium mollugo</t>
  </si>
  <si>
    <t>Wild Madder</t>
  </si>
  <si>
    <t>Galium obtusum Bigel.</t>
  </si>
  <si>
    <t>Bluntleaf Bedstraw</t>
  </si>
  <si>
    <t>Geranium maculatum L.</t>
  </si>
  <si>
    <t>Wild Geranium or Spotted Cranesbill</t>
  </si>
  <si>
    <t>Geum canadense Jacq.</t>
  </si>
  <si>
    <t>White Avens</t>
  </si>
  <si>
    <t>Geum laciniatum Murr.</t>
  </si>
  <si>
    <t>Rough Avens</t>
  </si>
  <si>
    <t>Glechoma hederacea L.</t>
  </si>
  <si>
    <t>Ground Ivy or Gill-Over-the-Ground</t>
  </si>
  <si>
    <t>Gleditsia triacanthos L.</t>
  </si>
  <si>
    <t>Honey Locust</t>
  </si>
  <si>
    <t>Glyceria striata (Lam.) Hitchc.</t>
  </si>
  <si>
    <t>Fowl Manngrass</t>
  </si>
  <si>
    <t>Hackelia virginiana (L.) Johnst.</t>
  </si>
  <si>
    <t>Virginia Stickseed or Beggar's Lice</t>
  </si>
  <si>
    <t>Hamamelis virginiana L.</t>
  </si>
  <si>
    <t>Witch Hazel</t>
  </si>
  <si>
    <t>Hibiscus moscheutos L.</t>
  </si>
  <si>
    <t>Swamp Rose Mallow</t>
  </si>
  <si>
    <t>Hieracium piloselloides Vill.</t>
  </si>
  <si>
    <t>Smooth Hawkweed or King Devil</t>
  </si>
  <si>
    <t>Humulus japonicus Sieb. &amp; Zucc.</t>
  </si>
  <si>
    <t>Japanese Hops</t>
  </si>
  <si>
    <t>Hylotelephium H. Ohba</t>
  </si>
  <si>
    <t>A Stonecrop or Sedum</t>
  </si>
  <si>
    <t>Hypericum punctatum Lam.</t>
  </si>
  <si>
    <t>Spotted St. John's wort</t>
  </si>
  <si>
    <t>Ilex opaca</t>
  </si>
  <si>
    <t>American Holly</t>
  </si>
  <si>
    <t>Ilex verticillata (L.) A. Gray</t>
  </si>
  <si>
    <t>Winterberry</t>
  </si>
  <si>
    <t>Impatiens capensis Meerb.</t>
  </si>
  <si>
    <t>Orange Jewelweed or Spotted Touch-Me-Not</t>
  </si>
  <si>
    <t>Iris pseudacorus L.</t>
  </si>
  <si>
    <t>Yellow Iris</t>
  </si>
  <si>
    <t>Juglans nigra L.</t>
  </si>
  <si>
    <t>Black Walnut</t>
  </si>
  <si>
    <t>Juncus effusus L.</t>
  </si>
  <si>
    <t>Soft Rush</t>
  </si>
  <si>
    <t>Juncus tenuis Willd.</t>
  </si>
  <si>
    <t>Path Rush</t>
  </si>
  <si>
    <t>Juniperus virginiana L.</t>
  </si>
  <si>
    <t>Eastern Red Cedar</t>
  </si>
  <si>
    <t>Lamium purpureum</t>
  </si>
  <si>
    <t>Purple Dead Nettle</t>
  </si>
  <si>
    <t>Laportea canadensis (L.) Wedd.</t>
  </si>
  <si>
    <t>Wood Nettle</t>
  </si>
  <si>
    <t>Lepidium campestre (L.) R. Br. Ex Ait.</t>
  </si>
  <si>
    <t>Field Peppergrass</t>
  </si>
  <si>
    <t>Lepidium virginicum L.</t>
  </si>
  <si>
    <t>Wild Peppergrass</t>
  </si>
  <si>
    <t>Leucanthemum vulgare Lam.</t>
  </si>
  <si>
    <t>Oxeye Daisy</t>
  </si>
  <si>
    <t>Ligustrum vulgare L.</t>
  </si>
  <si>
    <t>Privet Hedge</t>
  </si>
  <si>
    <t>Lindera benzoin (L.) Blume</t>
  </si>
  <si>
    <t>Spicebush</t>
  </si>
  <si>
    <t>Liquidambar styraciflua L.</t>
  </si>
  <si>
    <t>Sweet Gum</t>
  </si>
  <si>
    <t>Liriodendron tulipifera L.</t>
  </si>
  <si>
    <t>Tulip Tree or Yellow Poplar</t>
  </si>
  <si>
    <t>Lobelia inflata</t>
  </si>
  <si>
    <t>Indian Tobacco</t>
  </si>
  <si>
    <t>Lonicera japonica Thunb.</t>
  </si>
  <si>
    <t>Japanese Honeysuckle</t>
  </si>
  <si>
    <t>Lonicera maackii (Rupr.) Maxim.</t>
  </si>
  <si>
    <t>Amur Honeysuckle</t>
  </si>
  <si>
    <t>Lonicera morrowii A. Gray</t>
  </si>
  <si>
    <t>Morrow's Honeysuckle</t>
  </si>
  <si>
    <t>Lotus corniculatus L.</t>
  </si>
  <si>
    <t>Birdsfoot Treefoil</t>
  </si>
  <si>
    <t>Lychnis coronaria (L.) Desr.</t>
  </si>
  <si>
    <t>Mullein Pink</t>
  </si>
  <si>
    <t>Lycopus virginicus</t>
  </si>
  <si>
    <t>Virginia Bugleweed</t>
  </si>
  <si>
    <t>Lysimachia ciliata L.</t>
  </si>
  <si>
    <t>Lysimachia nummularia L.</t>
  </si>
  <si>
    <t>Maianthemum canadense Desf.</t>
  </si>
  <si>
    <t>Maianthemum racemosum L.</t>
  </si>
  <si>
    <t>Malus P. Mill.</t>
  </si>
  <si>
    <t>Medicago lupulina L.</t>
  </si>
  <si>
    <t>Melilotus alba Desr. ex Lam.</t>
  </si>
  <si>
    <t>Melilotus officinalis (L.) Pallas</t>
  </si>
  <si>
    <t>Microstegium vimineum (Trin.) Camus</t>
  </si>
  <si>
    <t>Mitchella repens L.</t>
  </si>
  <si>
    <t>Mollugo verticillata L.</t>
  </si>
  <si>
    <t>Monotropa uniflora L.</t>
  </si>
  <si>
    <t>Morus alba L.</t>
  </si>
  <si>
    <t>Myosotis laxa Lehm.</t>
  </si>
  <si>
    <t>Myosotis scorpioides L.</t>
  </si>
  <si>
    <t>Nyssa sylvatica Marsh.</t>
  </si>
  <si>
    <t>Oenothera biennis L.</t>
  </si>
  <si>
    <t>Onoclea sensibilis L.</t>
  </si>
  <si>
    <t>Osmunda cinnamomea L.</t>
  </si>
  <si>
    <t>Pachysandra terminalis Sieb. &amp; Zucc.</t>
  </si>
  <si>
    <t>Parthenocissus quinquefolia (L.) Planch. ex DC.</t>
  </si>
  <si>
    <t>Peltandra virginica (L.) Schott ex Schott &amp; Endl.</t>
  </si>
  <si>
    <t>Persicaria arifolia (L.) Haraldson</t>
  </si>
  <si>
    <t>Persicaria longiseta (Bruijn) Kitagawa</t>
  </si>
  <si>
    <t>Persicaria sagittata (L.) H. Gross</t>
  </si>
  <si>
    <t>Persicaria virginiana (L.) Gaertner</t>
  </si>
  <si>
    <t>Phalaris arundinacea L.</t>
  </si>
  <si>
    <t>Phragmites australis (Cav.) Trin. ex Steud.</t>
  </si>
  <si>
    <t>Phytolacca americana L.</t>
  </si>
  <si>
    <t>Plantago lanceolata L.</t>
  </si>
  <si>
    <t>Plantago major L.</t>
  </si>
  <si>
    <t>Platanus occidentalis L.</t>
  </si>
  <si>
    <t>Podophyllum peltatum L.</t>
  </si>
  <si>
    <t>Polygonatum pubescens (Willd.) Pursh</t>
  </si>
  <si>
    <t>Polystichum acrostichoides (Michx.) Schott</t>
  </si>
  <si>
    <t>Portulaca oleracea L.</t>
  </si>
  <si>
    <t>Potentilla argentea L.</t>
  </si>
  <si>
    <t>Potentilla recta L.</t>
  </si>
  <si>
    <t>Potentilla simplex Michx.</t>
  </si>
  <si>
    <t>Prunella vulgaris L.</t>
  </si>
  <si>
    <t>Prunus avium (L.) L.</t>
  </si>
  <si>
    <t>Prunus serotina Ehrh.</t>
  </si>
  <si>
    <t>Pyrola americana Sweet</t>
  </si>
  <si>
    <t>Quercus alba L.</t>
  </si>
  <si>
    <t>Quercus bicolor Willd.</t>
  </si>
  <si>
    <t>Quercus palustris Muenchh.</t>
  </si>
  <si>
    <t>Quercus rubra L.</t>
  </si>
  <si>
    <t>Quercus velutina Lam.</t>
  </si>
  <si>
    <t>Ranunculus abortivus L.</t>
  </si>
  <si>
    <t>Ranunculus ficaria L.</t>
  </si>
  <si>
    <t>Rhododendron periclymenoides (Michx.) Shinners</t>
  </si>
  <si>
    <t>Rhus glabra L.</t>
  </si>
  <si>
    <t>Robinia pseudo-acacia L.</t>
  </si>
  <si>
    <t>Rosa multiflora Thunb. ex Murr.</t>
  </si>
  <si>
    <t>Rubus allegheniensis Porter ex Bailey sensu lato</t>
  </si>
  <si>
    <t>Rubus occidentalis L.</t>
  </si>
  <si>
    <t>Rubus phoenicolasius Maxim.</t>
  </si>
  <si>
    <t>Rumex crispus L.</t>
  </si>
  <si>
    <t>Rumex obtusifolius L.</t>
  </si>
  <si>
    <t>Sagittaria latifolia Willd.</t>
  </si>
  <si>
    <t>Salix nigra Marsh.</t>
  </si>
  <si>
    <t>Sambucus canadensis L.</t>
  </si>
  <si>
    <t>Sassafras albidum (Nutt.) Nees</t>
  </si>
  <si>
    <t>Saururus cernuus L.</t>
  </si>
  <si>
    <t>Scleranthus annuus L.</t>
  </si>
  <si>
    <t>Securigera varia (L.) Lassen</t>
  </si>
  <si>
    <t>Sedum sarmentosum Bunge</t>
  </si>
  <si>
    <t>Senecio vulgaris L.</t>
  </si>
  <si>
    <t>Sisyrinchium angustifolium Mill.</t>
  </si>
  <si>
    <t>Smilax glauca Walt.</t>
  </si>
  <si>
    <t>Smilax herbacea L.</t>
  </si>
  <si>
    <t>Smilax rotundifolia L.</t>
  </si>
  <si>
    <t>Solanum dulcamara L.</t>
  </si>
  <si>
    <t>Solidago caesia L.</t>
  </si>
  <si>
    <t>Solidago flexicaulis L.</t>
  </si>
  <si>
    <t>Solidago rugosa Mill.</t>
  </si>
  <si>
    <t>Symplocarpus foetidus (L.) Salisb. ex Nutt.</t>
  </si>
  <si>
    <t>Taraxacum officinale Weber ex Wiggers</t>
  </si>
  <si>
    <t>Thalictrum pubescens Pursh</t>
  </si>
  <si>
    <t>Thelypteris noveboracensis (L.) Nieuwl.</t>
  </si>
  <si>
    <t>Tilia americana L.</t>
  </si>
  <si>
    <t>Toxicodendron radicans (L.) Kuntze</t>
  </si>
  <si>
    <t>Trifolium pratense L.</t>
  </si>
  <si>
    <t>Trifolium repens L.</t>
  </si>
  <si>
    <t>Ulmus americana L.</t>
  </si>
  <si>
    <t>Uvularia sessilifolia L.</t>
  </si>
  <si>
    <t>Vaccinium corymbosum L.</t>
  </si>
  <si>
    <t>Vaccinium pallidum Ait.</t>
  </si>
  <si>
    <t>Vaccinium stamineum L.</t>
  </si>
  <si>
    <t>Verbena urticifolia L.</t>
  </si>
  <si>
    <t>Veronica arvensis L.</t>
  </si>
  <si>
    <t>Veronica officinalis L.</t>
  </si>
  <si>
    <t>Veronica peregrina L.</t>
  </si>
  <si>
    <t>Veronica serpyllifolia L.</t>
  </si>
  <si>
    <t>Viburnum acerifolium L.</t>
  </si>
  <si>
    <t>Viburnum dentatum var. lucidum Ait.</t>
  </si>
  <si>
    <t>Viburnum opulus L.</t>
  </si>
  <si>
    <t>Viburnum plicatum Thunb.</t>
  </si>
  <si>
    <t>Viburnum prunifolium L.</t>
  </si>
  <si>
    <t>Vicia tetrasperma (L.) Schreb.</t>
  </si>
  <si>
    <t>Viola cucullata Ait.</t>
  </si>
  <si>
    <t>Viola pubescens Ait.</t>
  </si>
  <si>
    <t>Viola sororia Willd.</t>
  </si>
  <si>
    <t>Vitis labrusca L.</t>
  </si>
  <si>
    <t>Lyonia ligustrina</t>
  </si>
  <si>
    <t>Maleberry</t>
  </si>
  <si>
    <t>Fringed Loosestrife</t>
  </si>
  <si>
    <t>Moneywort</t>
  </si>
  <si>
    <t>Lysimachia terrestris</t>
  </si>
  <si>
    <t>Lythrum salicaria</t>
  </si>
  <si>
    <t>Swamp Candles or Yellow Loosestrife</t>
  </si>
  <si>
    <t>Purple Loosestrife</t>
  </si>
  <si>
    <t>Canada Mayflower or Wild Lily-of-the-Valley</t>
  </si>
  <si>
    <t>False Solomon's Seal</t>
  </si>
  <si>
    <t>An Apple</t>
  </si>
  <si>
    <t>Black Medick</t>
  </si>
  <si>
    <t>White Sweet Clover</t>
  </si>
  <si>
    <t>Yellow Sweet Clover</t>
  </si>
  <si>
    <t>Japanese Stittgrass</t>
  </si>
  <si>
    <t>Partridgeberry</t>
  </si>
  <si>
    <t>Carpetweed</t>
  </si>
  <si>
    <t>Indian or Ghost Pipes</t>
  </si>
  <si>
    <t>White Mulberry</t>
  </si>
  <si>
    <t>Smaller Forget-Me-Not</t>
  </si>
  <si>
    <t>Forget-Me-Not</t>
  </si>
  <si>
    <t>Nuphar advena</t>
  </si>
  <si>
    <t>Spatterdock or Southern Yellow Pond Lily</t>
  </si>
  <si>
    <t>Sour Gum, Black Gum, or Tupelo</t>
  </si>
  <si>
    <t>Common Evening Primrose</t>
  </si>
  <si>
    <t>Sensitive Fern</t>
  </si>
  <si>
    <t>Cinnamon Fern</t>
  </si>
  <si>
    <t>Osmunda claytoniana</t>
  </si>
  <si>
    <t>Oxalis</t>
  </si>
  <si>
    <t>Interrupted Fern</t>
  </si>
  <si>
    <t>A Yellow Wood Sorrel</t>
  </si>
  <si>
    <t>Japanese Pachysandra</t>
  </si>
  <si>
    <t>Virginia Creeper or Woodbine</t>
  </si>
  <si>
    <t>Arrow Arum</t>
  </si>
  <si>
    <t>Halberd-leaved Tearthumb</t>
  </si>
  <si>
    <t>Oriental Lady's Thumb</t>
  </si>
  <si>
    <t>Arrow-leaved Tearthumb</t>
  </si>
  <si>
    <t>Lumpseed or Virginia Knotweed</t>
  </si>
  <si>
    <t>Reed Canarygrass</t>
  </si>
  <si>
    <t>Phragmited or Common Reed</t>
  </si>
  <si>
    <t>Pokeweed</t>
  </si>
  <si>
    <t>English Plantain</t>
  </si>
  <si>
    <t>Common Plaintain</t>
  </si>
  <si>
    <t>Sycamore or Buttonwood</t>
  </si>
  <si>
    <t>Mayapple</t>
  </si>
  <si>
    <t>Hairy Solomon's Seal</t>
  </si>
  <si>
    <t>Christmas Fern</t>
  </si>
  <si>
    <t>Purslane or Pusley</t>
  </si>
  <si>
    <t>Silvery Cinquefoil</t>
  </si>
  <si>
    <t>Rough-fruited Cinquefoil or Sulphur Cinquefoil</t>
  </si>
  <si>
    <t>Common Cinquefoil</t>
  </si>
  <si>
    <t>Selfheal or Healall</t>
  </si>
  <si>
    <t>Sweet or Bird Cherr</t>
  </si>
  <si>
    <t>Black Cherry</t>
  </si>
  <si>
    <t>Pycnanthemum</t>
  </si>
  <si>
    <t>Virginia Mountain Mint</t>
  </si>
  <si>
    <t>Round-leaved Pyrola or Shinleaf</t>
  </si>
  <si>
    <t>Pyrus calleryana</t>
  </si>
  <si>
    <t>Callery Pear</t>
  </si>
  <si>
    <t>White Oak</t>
  </si>
  <si>
    <t>Swamp White Oak</t>
  </si>
  <si>
    <t>Pin Oak</t>
  </si>
  <si>
    <t>Red Oak</t>
  </si>
  <si>
    <t>Black Oak</t>
  </si>
  <si>
    <t>Small-flowered Crowfoot</t>
  </si>
  <si>
    <t>Ranunculus bulbosus</t>
  </si>
  <si>
    <t>Bulbous Buttercup</t>
  </si>
  <si>
    <t>Lesser Celandine</t>
  </si>
  <si>
    <t>Pink Azalea or Pinxter Flower</t>
  </si>
  <si>
    <t>Smooth Sumac</t>
  </si>
  <si>
    <t>Black Locust</t>
  </si>
  <si>
    <t>Multiflora Rose</t>
  </si>
  <si>
    <t>Common Blackberry</t>
  </si>
  <si>
    <t>Swamp Dewberry</t>
  </si>
  <si>
    <t>Black Raspberry</t>
  </si>
  <si>
    <t>Rubus hispidus</t>
  </si>
  <si>
    <t>Wineberry</t>
  </si>
  <si>
    <t>Rumex acetosella</t>
  </si>
  <si>
    <t>Sheep Sorrel or Field Sorrel</t>
  </si>
  <si>
    <t>Curled Dock</t>
  </si>
  <si>
    <t>Broad-leaved or Bitter Dock</t>
  </si>
  <si>
    <t>Rumex verticillatus</t>
  </si>
  <si>
    <t>Swamp Dock</t>
  </si>
  <si>
    <t>Common Arrowhead</t>
  </si>
  <si>
    <t>Black Willow</t>
  </si>
  <si>
    <t>Common Elderberry</t>
  </si>
  <si>
    <t>Sassafras</t>
  </si>
  <si>
    <t>Lizard's Tail</t>
  </si>
  <si>
    <t>Knawel</t>
  </si>
  <si>
    <t>Crownvetch</t>
  </si>
  <si>
    <t>Stringy Stonecrop or Sedum</t>
  </si>
  <si>
    <t>Common Groundsel</t>
  </si>
  <si>
    <t>Stout Blue-Eyed-Grass</t>
  </si>
  <si>
    <t>Sawbrier</t>
  </si>
  <si>
    <t>Carrion Flower</t>
  </si>
  <si>
    <t>Common Greebrier or Catbrier</t>
  </si>
  <si>
    <t>Bittersweet Nightshade</t>
  </si>
  <si>
    <t>Blue-stemmed or Wreath Goldenrod</t>
  </si>
  <si>
    <t>Zig-Zag or Broadleaved Goldenrod</t>
  </si>
  <si>
    <t>Rough-stemmed Goldenrod</t>
  </si>
  <si>
    <t>Spirea tomentosa</t>
  </si>
  <si>
    <t>Steeplebush or Hardhack</t>
  </si>
  <si>
    <t>Skunk Cabbage</t>
  </si>
  <si>
    <t>Common Dandelion</t>
  </si>
  <si>
    <t>Tall Meadow Rue</t>
  </si>
  <si>
    <t>New York Fern</t>
  </si>
  <si>
    <t>Thelypteris palustris</t>
  </si>
  <si>
    <t>Marsh Fern</t>
  </si>
  <si>
    <t>American Linden or Basswood</t>
  </si>
  <si>
    <t>Poison Ivy</t>
  </si>
  <si>
    <t>Red or Pink Clover</t>
  </si>
  <si>
    <t>White Clover</t>
  </si>
  <si>
    <t>Ulmus</t>
  </si>
  <si>
    <t>An Asian Elm</t>
  </si>
  <si>
    <t>American Elm</t>
  </si>
  <si>
    <t>Sessile-leaved Bellwort</t>
  </si>
  <si>
    <t>Highbush Blueberry</t>
  </si>
  <si>
    <t>Late Low Blueberry</t>
  </si>
  <si>
    <t>Deerberry</t>
  </si>
  <si>
    <t>Verbascum blattaria</t>
  </si>
  <si>
    <t>Veratrum viride</t>
  </si>
  <si>
    <t>Flase or White Hellebore or Indian Poke</t>
  </si>
  <si>
    <t>Moth Mullein</t>
  </si>
  <si>
    <t>White Vervain</t>
  </si>
  <si>
    <t>Corn Speedwell</t>
  </si>
  <si>
    <t>Common Speedwell</t>
  </si>
  <si>
    <t>Purslane Speedwell</t>
  </si>
  <si>
    <t>Thyme-leaved Speedwell</t>
  </si>
  <si>
    <t>Maple-leaved Viburnum or Dockmackie</t>
  </si>
  <si>
    <t>Arrowood</t>
  </si>
  <si>
    <t>European Cranberry Bush</t>
  </si>
  <si>
    <t>Japanese Snowball</t>
  </si>
  <si>
    <t>Black Haw</t>
  </si>
  <si>
    <t>Slender Vetch</t>
  </si>
  <si>
    <t>Marsh Blue Violet</t>
  </si>
  <si>
    <t>Viola eriocarpa</t>
  </si>
  <si>
    <t>Smooth Yellow Violet</t>
  </si>
  <si>
    <t>Downy Yellow Violet</t>
  </si>
  <si>
    <t>Wooly Blue Violet or Sister Violet</t>
  </si>
  <si>
    <t>Fox Grape</t>
  </si>
  <si>
    <t>Wisteria sinensis</t>
  </si>
  <si>
    <t>Chinese Wisteria</t>
  </si>
  <si>
    <t xml:space="preserve">Virginian Tiger Moth </t>
  </si>
  <si>
    <t xml:space="preserve">Spilosoma  </t>
  </si>
  <si>
    <t xml:space="preserve">virginica </t>
  </si>
  <si>
    <t>Lepidoptera</t>
  </si>
  <si>
    <t>Geina </t>
  </si>
  <si>
    <t>Olethreutes</t>
  </si>
  <si>
    <t>bipartitana</t>
  </si>
  <si>
    <t xml:space="preserve">Crambidae </t>
  </si>
  <si>
    <t xml:space="preserve">Celastrina </t>
  </si>
  <si>
    <t>Cabbage White</t>
  </si>
  <si>
    <t xml:space="preserve">Pieris </t>
  </si>
  <si>
    <t>rapae</t>
  </si>
  <si>
    <t>Peck's Skipper</t>
  </si>
  <si>
    <t xml:space="preserve">Polites </t>
  </si>
  <si>
    <t>peckius</t>
  </si>
  <si>
    <t>Hemiptera</t>
  </si>
  <si>
    <t>Poecilocapsus</t>
  </si>
  <si>
    <t>lineatus</t>
  </si>
  <si>
    <t>Philaenus</t>
  </si>
  <si>
    <t xml:space="preserve">spumarius </t>
  </si>
  <si>
    <t xml:space="preserve">Leptopterna </t>
  </si>
  <si>
    <t>dolabrata</t>
  </si>
  <si>
    <t>Macrosiphum</t>
  </si>
  <si>
    <t>sp.</t>
  </si>
  <si>
    <t>Cicadellidae</t>
  </si>
  <si>
    <t>Augochlorella </t>
  </si>
  <si>
    <t>Hymenoptera</t>
  </si>
  <si>
    <t>Bombus</t>
  </si>
  <si>
    <t xml:space="preserve">Apis </t>
  </si>
  <si>
    <t>mellifera</t>
  </si>
  <si>
    <t>ephippium</t>
  </si>
  <si>
    <t>Fourteen-spotted Lady Beetle</t>
  </si>
  <si>
    <t>Propylea</t>
  </si>
  <si>
    <t>quatuordecimpunctata</t>
  </si>
  <si>
    <t>Multicolored Asian Lady Beetle</t>
  </si>
  <si>
    <t>Harmonia</t>
  </si>
  <si>
    <t>axyridis</t>
  </si>
  <si>
    <t>Carabidae</t>
  </si>
  <si>
    <t>Elateridae</t>
  </si>
  <si>
    <t>Darkling Beetle</t>
  </si>
  <si>
    <t>Tenebrionidae</t>
  </si>
  <si>
    <t>Curculionidae</t>
  </si>
  <si>
    <t>Myrmecothea </t>
  </si>
  <si>
    <t>myrmecoides</t>
  </si>
  <si>
    <t>Toxomerus</t>
  </si>
  <si>
    <t>marginatus</t>
  </si>
  <si>
    <t>Lucilia</t>
  </si>
  <si>
    <t>Culicidae</t>
  </si>
  <si>
    <t xml:space="preserve">Condylostylus </t>
  </si>
  <si>
    <t>Marsh Fly</t>
  </si>
  <si>
    <t>Sciomyzidae</t>
  </si>
  <si>
    <t>Syrphidae</t>
  </si>
  <si>
    <t>Drosophila</t>
  </si>
  <si>
    <t>Ravinia</t>
  </si>
  <si>
    <t>Ischnura</t>
  </si>
  <si>
    <t xml:space="preserve">verticalis </t>
  </si>
  <si>
    <t xml:space="preserve">Chortophaga </t>
  </si>
  <si>
    <t>viridifasciata</t>
  </si>
  <si>
    <t>Orthoptera</t>
  </si>
  <si>
    <t xml:space="preserve">Melanoplus </t>
  </si>
  <si>
    <t>bivittatus</t>
  </si>
  <si>
    <t>Melanoplus</t>
  </si>
  <si>
    <t xml:space="preserve">American Dog Tick </t>
  </si>
  <si>
    <t>Dermacentor</t>
  </si>
  <si>
    <t>variabilis</t>
  </si>
  <si>
    <t>Arachnida</t>
  </si>
  <si>
    <t xml:space="preserve">Orchard Orbweaver </t>
  </si>
  <si>
    <t>Leucauge</t>
  </si>
  <si>
    <t xml:space="preserve">venusta </t>
  </si>
  <si>
    <t xml:space="preserve">Leiobunum </t>
  </si>
  <si>
    <t>nigropalpi</t>
  </si>
  <si>
    <t>Erythraeidae</t>
  </si>
  <si>
    <t>Wolf Spider</t>
  </si>
  <si>
    <t>Lycosidae</t>
  </si>
  <si>
    <t>Salticidae</t>
  </si>
  <si>
    <t>glaucus</t>
  </si>
  <si>
    <t>Junonia</t>
  </si>
  <si>
    <t>coenia</t>
  </si>
  <si>
    <t>Ancyloxypha</t>
  </si>
  <si>
    <t>numitor</t>
  </si>
  <si>
    <t>Dichomeris</t>
  </si>
  <si>
    <t>Promalactis</t>
  </si>
  <si>
    <t>suzukiella</t>
  </si>
  <si>
    <t>Eusarca</t>
  </si>
  <si>
    <t>confusaria</t>
  </si>
  <si>
    <t>Speranza</t>
  </si>
  <si>
    <t>pustularia</t>
  </si>
  <si>
    <t>Agrotis</t>
  </si>
  <si>
    <t>ipsilon</t>
  </si>
  <si>
    <t>Lacinipolia</t>
  </si>
  <si>
    <t>renigera</t>
  </si>
  <si>
    <t>Ponometia</t>
  </si>
  <si>
    <t>candefacta</t>
  </si>
  <si>
    <t>Crambus</t>
  </si>
  <si>
    <t>Microcrambus</t>
  </si>
  <si>
    <t>elegans</t>
  </si>
  <si>
    <t>Archips</t>
  </si>
  <si>
    <t>semiferanus</t>
  </si>
  <si>
    <t>ferrolineana</t>
  </si>
  <si>
    <t>Acleris</t>
  </si>
  <si>
    <t>Mormidea</t>
  </si>
  <si>
    <t>lugens</t>
  </si>
  <si>
    <t>Halyomorpha</t>
  </si>
  <si>
    <t>halys</t>
  </si>
  <si>
    <t>serripes</t>
  </si>
  <si>
    <t>Campylenchia</t>
  </si>
  <si>
    <t>latipes</t>
  </si>
  <si>
    <t>Ophiderma</t>
  </si>
  <si>
    <t>salamandra</t>
  </si>
  <si>
    <t>Paraulacizes</t>
  </si>
  <si>
    <t>irrorata</t>
  </si>
  <si>
    <t>Nomada</t>
  </si>
  <si>
    <t>Eutomostethus</t>
  </si>
  <si>
    <t>Diapriidae</t>
  </si>
  <si>
    <t>Cycloneda</t>
  </si>
  <si>
    <t>munda</t>
  </si>
  <si>
    <t>Rhinocyllus</t>
  </si>
  <si>
    <t>conicus</t>
  </si>
  <si>
    <t>Systena</t>
  </si>
  <si>
    <t>blanda</t>
  </si>
  <si>
    <t>Mordellidae</t>
  </si>
  <si>
    <t>Necydalis</t>
  </si>
  <si>
    <t>Tetanocera</t>
  </si>
  <si>
    <t>Stratiomyidae</t>
  </si>
  <si>
    <t>Anax</t>
  </si>
  <si>
    <t>junius</t>
  </si>
  <si>
    <t>atlanticus</t>
  </si>
  <si>
    <t>Neohermes</t>
  </si>
  <si>
    <t>Species</t>
  </si>
  <si>
    <t>Subfamily</t>
  </si>
  <si>
    <t>Section A-1</t>
  </si>
  <si>
    <t>Section A-2</t>
  </si>
  <si>
    <t>Section A-3</t>
  </si>
  <si>
    <t xml:space="preserve">Section B-1 </t>
  </si>
  <si>
    <t>Section B-2</t>
  </si>
  <si>
    <t>Section B-3</t>
  </si>
  <si>
    <t>Small White Grass-veneer</t>
  </si>
  <si>
    <t>albellus</t>
  </si>
  <si>
    <t>Crambinae</t>
  </si>
  <si>
    <t>Crambidae</t>
  </si>
  <si>
    <t>Insecta</t>
  </si>
  <si>
    <t>Elegant Grass-veneer Moth</t>
  </si>
  <si>
    <t>Crambid Snout Moths #1</t>
  </si>
  <si>
    <t>unknown</t>
  </si>
  <si>
    <t>Crambid Snout Moths #2</t>
  </si>
  <si>
    <t>Crambid Snout Moths #3</t>
  </si>
  <si>
    <t>Arctiinae</t>
  </si>
  <si>
    <t>Erebidae</t>
  </si>
  <si>
    <t>Cream-bordered Dichomeris</t>
  </si>
  <si>
    <t>flavocostella</t>
  </si>
  <si>
    <t>Dichomeridinae</t>
  </si>
  <si>
    <t>Gelechiidae</t>
  </si>
  <si>
    <t>Confused Eusarca</t>
  </si>
  <si>
    <t>Ennominae</t>
  </si>
  <si>
    <t>Geometridae</t>
  </si>
  <si>
    <t>Lesser Maple Spanworm Moth</t>
  </si>
  <si>
    <t xml:space="preserve">Ennominae </t>
  </si>
  <si>
    <t xml:space="preserve">Ipsilon Dart </t>
  </si>
  <si>
    <t>Noctuinae</t>
  </si>
  <si>
    <t>Noctuidae</t>
  </si>
  <si>
    <t>Bristly Cutworm</t>
  </si>
  <si>
    <t>Olive-shaded Bird Dropping Moth</t>
  </si>
  <si>
    <t>Acontiinae</t>
  </si>
  <si>
    <t xml:space="preserve">Suzuki's Promolactis Moth </t>
  </si>
  <si>
    <t xml:space="preserve">Oecophorinae </t>
  </si>
  <si>
    <t>Oecophoridae</t>
  </si>
  <si>
    <t>Bagworm Moth</t>
  </si>
  <si>
    <t>Psychidae</t>
  </si>
  <si>
    <t xml:space="preserve">Plume Moth </t>
  </si>
  <si>
    <t>Pterophorinae</t>
  </si>
  <si>
    <t>Pterophoridae</t>
  </si>
  <si>
    <t>Tortricid Moth</t>
  </si>
  <si>
    <t>Olethreutinae</t>
  </si>
  <si>
    <t>Tortricidae</t>
  </si>
  <si>
    <t>Tortricid Moth #1</t>
  </si>
  <si>
    <t>Tortricid Moth #2</t>
  </si>
  <si>
    <t>Tortricinae</t>
  </si>
  <si>
    <t>Unknown moth #1</t>
  </si>
  <si>
    <t>Unknown moth #2</t>
  </si>
  <si>
    <t>Unknown moth #3</t>
  </si>
  <si>
    <t>Unknown moth #4</t>
  </si>
  <si>
    <t>Least Skipper</t>
  </si>
  <si>
    <t>Hesperiinae</t>
  </si>
  <si>
    <t>Hesperiidae</t>
  </si>
  <si>
    <t>Azure</t>
  </si>
  <si>
    <t>Polyommatinae</t>
  </si>
  <si>
    <t>Lycaenidae</t>
  </si>
  <si>
    <t>Pierinae</t>
  </si>
  <si>
    <t>Pieridae</t>
  </si>
  <si>
    <t>Eastern Tiger Swallowtail</t>
  </si>
  <si>
    <t>Papilio</t>
  </si>
  <si>
    <t xml:space="preserve">Papilioninae </t>
  </si>
  <si>
    <t>Papilionidae</t>
  </si>
  <si>
    <t>Red Admiral</t>
  </si>
  <si>
    <t>Vanessa</t>
  </si>
  <si>
    <t>atalanta</t>
  </si>
  <si>
    <t>Nymphalinae</t>
  </si>
  <si>
    <t>Nymphalidae</t>
  </si>
  <si>
    <t>Common Buckeye</t>
  </si>
  <si>
    <t>Aphid</t>
  </si>
  <si>
    <t xml:space="preserve">Aphidinae </t>
  </si>
  <si>
    <t>Aphididae</t>
  </si>
  <si>
    <t>Meadow Spittlebug/Froghopper #1</t>
  </si>
  <si>
    <t>Cercopidae</t>
  </si>
  <si>
    <t>Meadow Spittlebug/Froghopper #2</t>
  </si>
  <si>
    <t xml:space="preserve">Meadow Spittlebug/Froghopper </t>
  </si>
  <si>
    <t xml:space="preserve">Speckled Sharpshooter </t>
  </si>
  <si>
    <t>Cicadellinae</t>
  </si>
  <si>
    <t>Leafhoppers #1</t>
  </si>
  <si>
    <t>Leafhoppers #2</t>
  </si>
  <si>
    <t>Leafhoppers #3</t>
  </si>
  <si>
    <t>Leafhoppers #4</t>
  </si>
  <si>
    <t>Leafhoppers #5</t>
  </si>
  <si>
    <t>Leafhoppers #6</t>
  </si>
  <si>
    <t>Leafhoppers #7</t>
  </si>
  <si>
    <t>Leafhoppers #8</t>
  </si>
  <si>
    <t>Seed Bug</t>
  </si>
  <si>
    <t>Lygaeidae</t>
  </si>
  <si>
    <t>Treehopper</t>
  </si>
  <si>
    <t>Micrutalis</t>
  </si>
  <si>
    <t>Membracidae</t>
  </si>
  <si>
    <t xml:space="preserve">Black Locust Treehopper </t>
  </si>
  <si>
    <t>Meadow Plant Bug</t>
  </si>
  <si>
    <t>Mirinae</t>
  </si>
  <si>
    <t xml:space="preserve">Miridae  </t>
  </si>
  <si>
    <t>Four-lined Plant Bug</t>
  </si>
  <si>
    <t>Miridae</t>
  </si>
  <si>
    <t>Plant Bug</t>
  </si>
  <si>
    <t>Lopidea</t>
  </si>
  <si>
    <t>Orthotylinae</t>
  </si>
  <si>
    <t>Plant Bugs #1</t>
  </si>
  <si>
    <t>Plant Bugs #2</t>
  </si>
  <si>
    <t>Plant Bugs #3</t>
  </si>
  <si>
    <t>Plant Bugs #4</t>
  </si>
  <si>
    <t>Plant Bugs #5</t>
  </si>
  <si>
    <t>Plant Bugs #6</t>
  </si>
  <si>
    <t>Plant Bugs #7</t>
  </si>
  <si>
    <t>Plant Bugs #8</t>
  </si>
  <si>
    <t>Stink Bug</t>
  </si>
  <si>
    <t xml:space="preserve">Pentatominae </t>
  </si>
  <si>
    <t>Pentatomidae</t>
  </si>
  <si>
    <t xml:space="preserve">Brown Marmorated Stink Bug </t>
  </si>
  <si>
    <t>Predatory Stink Bug</t>
  </si>
  <si>
    <t>Asopinae</t>
  </si>
  <si>
    <t>Water Boatmen</t>
  </si>
  <si>
    <t>Coroxidae</t>
  </si>
  <si>
    <t xml:space="preserve">Long-necked Seed Bug </t>
  </si>
  <si>
    <t>Myodocha</t>
  </si>
  <si>
    <t>Rhyparochromidae</t>
  </si>
  <si>
    <t>Bumble Bee</t>
  </si>
  <si>
    <t>Apinae</t>
  </si>
  <si>
    <t>Apidae</t>
  </si>
  <si>
    <t>Honey Bee</t>
  </si>
  <si>
    <t>Cuckoo Bee</t>
  </si>
  <si>
    <t xml:space="preserve">Nomadinae </t>
  </si>
  <si>
    <t>Braconid Wasp #1</t>
  </si>
  <si>
    <t>Braconidae</t>
  </si>
  <si>
    <t>Braconid Wasp #2</t>
  </si>
  <si>
    <t>Parasitic Wasp</t>
  </si>
  <si>
    <t>Ants #1</t>
  </si>
  <si>
    <t>Formicidae</t>
  </si>
  <si>
    <t>Ants #2</t>
  </si>
  <si>
    <t>Ants #3</t>
  </si>
  <si>
    <t>Ants #4</t>
  </si>
  <si>
    <t>Green Metallic Sweat Bee</t>
  </si>
  <si>
    <t xml:space="preserve">Halictinae </t>
  </si>
  <si>
    <t>Halictidae</t>
  </si>
  <si>
    <t>Ichneumonid Wasp #1</t>
  </si>
  <si>
    <t>Ichneumonidae</t>
  </si>
  <si>
    <t>Ichneumonid Wasp #2</t>
  </si>
  <si>
    <t>Ichneumonid Wasp #3</t>
  </si>
  <si>
    <t>Chalcid</t>
  </si>
  <si>
    <t>Chalcididae</t>
  </si>
  <si>
    <t>Sawfly</t>
  </si>
  <si>
    <t>Tenthredinidae</t>
  </si>
  <si>
    <t>Unknown #1</t>
  </si>
  <si>
    <t>Unknown #2</t>
  </si>
  <si>
    <t>Unknown #3</t>
  </si>
  <si>
    <t>Soldier Beetle #1</t>
  </si>
  <si>
    <t>Cantharidae</t>
  </si>
  <si>
    <t>Soldier Beetle #2</t>
  </si>
  <si>
    <t>Soldier Beetle #3</t>
  </si>
  <si>
    <t>Ground Beetle #2</t>
  </si>
  <si>
    <t>Ground Beetle #3</t>
  </si>
  <si>
    <t>Ground Beetle #4</t>
  </si>
  <si>
    <t>Ground Beetle #5</t>
  </si>
  <si>
    <t>Ground Beetle #6</t>
  </si>
  <si>
    <t>Ground Beetle</t>
  </si>
  <si>
    <t>Chlaenius</t>
  </si>
  <si>
    <t>Flower Longhorn Beetle (wasp mimic)</t>
  </si>
  <si>
    <t xml:space="preserve">Lepturinae </t>
  </si>
  <si>
    <t>Cerambycidae</t>
  </si>
  <si>
    <t>Flower Longhorn Beetle</t>
  </si>
  <si>
    <t>Flea Beetle #1</t>
  </si>
  <si>
    <t>Alticinae</t>
  </si>
  <si>
    <t>Chrysomelidae</t>
  </si>
  <si>
    <t>Flea Beetle #2</t>
  </si>
  <si>
    <t>Flea Beetle #3</t>
  </si>
  <si>
    <t>Tortoise Beetle</t>
  </si>
  <si>
    <t>Cassidinae</t>
  </si>
  <si>
    <t xml:space="preserve">Palestriped Flea Beetle </t>
  </si>
  <si>
    <t>Galerucinae</t>
  </si>
  <si>
    <t xml:space="preserve">Coccinellinae </t>
  </si>
  <si>
    <t>Coccinellidae</t>
  </si>
  <si>
    <t>Polished Lady Beetle</t>
  </si>
  <si>
    <t>Weevil #1</t>
  </si>
  <si>
    <t>Weevil #2</t>
  </si>
  <si>
    <t>Weevil #3</t>
  </si>
  <si>
    <t>Weevil #4</t>
  </si>
  <si>
    <t>Weevil #5</t>
  </si>
  <si>
    <t>Weevil #6</t>
  </si>
  <si>
    <t xml:space="preserve">Thistle Head Weevil </t>
  </si>
  <si>
    <t>Lixinae</t>
  </si>
  <si>
    <t>Bark/Ambrosia Beetle</t>
  </si>
  <si>
    <t>Scolytinae</t>
  </si>
  <si>
    <t>Click Beetle #1</t>
  </si>
  <si>
    <t>Click Beetle #2</t>
  </si>
  <si>
    <t>Click Beetle #3</t>
  </si>
  <si>
    <t>Variegated Mud-loving Beetles #1</t>
  </si>
  <si>
    <t>Heteroceridae</t>
  </si>
  <si>
    <t>Variegated Mud-loving Beetles #2</t>
  </si>
  <si>
    <t>Water Scavenger Beetle #1</t>
  </si>
  <si>
    <t>Hydrophilidae</t>
  </si>
  <si>
    <t>Water Scavenger Beetle #2</t>
  </si>
  <si>
    <t>Water Scavenger Beetle #3</t>
  </si>
  <si>
    <t>Water Scavenger Beetle #4</t>
  </si>
  <si>
    <t>Water Scavenger Beetle #5</t>
  </si>
  <si>
    <t>Firefly</t>
  </si>
  <si>
    <t>Lampyridae</t>
  </si>
  <si>
    <t>Tumbling Flower Beetle</t>
  </si>
  <si>
    <t>Fire-Colored Beetle</t>
  </si>
  <si>
    <t>Pedilus</t>
  </si>
  <si>
    <t>Pyrochroidae</t>
  </si>
  <si>
    <t>Rove Beetle #1</t>
  </si>
  <si>
    <t>Staphylinidae</t>
  </si>
  <si>
    <t>Rove Beetle #2</t>
  </si>
  <si>
    <t>Rove Beetle #3</t>
  </si>
  <si>
    <t>Rove Beetle #4</t>
  </si>
  <si>
    <t>Rove Beetle #5</t>
  </si>
  <si>
    <t>Rove Beetle #6</t>
  </si>
  <si>
    <t>Rove Beetle #7</t>
  </si>
  <si>
    <t>Rove Beetle #8</t>
  </si>
  <si>
    <t>Rove Beetle #9</t>
  </si>
  <si>
    <t>Unidentified #1</t>
  </si>
  <si>
    <t>Unidentified #2</t>
  </si>
  <si>
    <t>Unidentified #3</t>
  </si>
  <si>
    <t>Unidentified #4</t>
  </si>
  <si>
    <t>Unidentified #5</t>
  </si>
  <si>
    <t>Unidentified #6</t>
  </si>
  <si>
    <t>Leaf Miner Fly</t>
  </si>
  <si>
    <t>Agromyzidae</t>
  </si>
  <si>
    <t>Root-Maggot Fly</t>
  </si>
  <si>
    <t>Anthomyiidae</t>
  </si>
  <si>
    <t>Blow Fly</t>
  </si>
  <si>
    <t>Caliphoridae</t>
  </si>
  <si>
    <t>Mosquito #1</t>
  </si>
  <si>
    <t xml:space="preserve">unknown </t>
  </si>
  <si>
    <t>Mosquito #2</t>
  </si>
  <si>
    <t>Long-Legged Fly</t>
  </si>
  <si>
    <t>Sciapodinae</t>
  </si>
  <si>
    <t>Dolichopodidae</t>
  </si>
  <si>
    <t>Long-Legged Fly #1</t>
  </si>
  <si>
    <t>Long-Legged Fly #2</t>
  </si>
  <si>
    <t>Vinegar Fly</t>
  </si>
  <si>
    <t>Drosophilidae</t>
  </si>
  <si>
    <t>Long-tailed Dance Fly</t>
  </si>
  <si>
    <t>Rhamphomyia</t>
  </si>
  <si>
    <t>longicauda</t>
  </si>
  <si>
    <t>Empidinae</t>
  </si>
  <si>
    <t>Empididae</t>
  </si>
  <si>
    <t>Dance Fly</t>
  </si>
  <si>
    <t>Shore Fly</t>
  </si>
  <si>
    <t>Ephydridae</t>
  </si>
  <si>
    <t>Fly</t>
  </si>
  <si>
    <t>Lauxaniidae</t>
  </si>
  <si>
    <t>Snipe Fly</t>
  </si>
  <si>
    <t>Chrysopilus</t>
  </si>
  <si>
    <t>Rhagionidae</t>
  </si>
  <si>
    <t>Snipe Fly #1</t>
  </si>
  <si>
    <t>Snipe Fly #2</t>
  </si>
  <si>
    <t>Flesh Fly</t>
  </si>
  <si>
    <t>Sarcophaginae</t>
  </si>
  <si>
    <t>Sarcophagidae</t>
  </si>
  <si>
    <t>Marsh Fly #1</t>
  </si>
  <si>
    <t>Marsh Fly #2</t>
  </si>
  <si>
    <t>Black Scavenger Fly #1</t>
  </si>
  <si>
    <t>Sepsidae</t>
  </si>
  <si>
    <t>Black Scavenger Fly #2</t>
  </si>
  <si>
    <t>Lesser Dung Fly</t>
  </si>
  <si>
    <t>Leptocera</t>
  </si>
  <si>
    <t xml:space="preserve">Limosininae </t>
  </si>
  <si>
    <t>Sphaeroceridae</t>
  </si>
  <si>
    <t>Soldier Fly</t>
  </si>
  <si>
    <t>Syrphid fly #1</t>
  </si>
  <si>
    <t>Syrphid fly #2</t>
  </si>
  <si>
    <t>Syrphid fly #3</t>
  </si>
  <si>
    <t>Hover Fly</t>
  </si>
  <si>
    <t xml:space="preserve">Syrphinae </t>
  </si>
  <si>
    <t>Horse Fly</t>
  </si>
  <si>
    <t>Tabanidae</t>
  </si>
  <si>
    <t xml:space="preserve">Crane Fly </t>
  </si>
  <si>
    <t>Ant Mimic Fly</t>
  </si>
  <si>
    <t>Otitinae</t>
  </si>
  <si>
    <t>Ulidiidae</t>
  </si>
  <si>
    <t>Common Green Darner</t>
  </si>
  <si>
    <t>Aeshnidae</t>
  </si>
  <si>
    <t>Eastern Forktail</t>
  </si>
  <si>
    <t>Coenagrionidae</t>
  </si>
  <si>
    <t>Blue Tipped dancer</t>
  </si>
  <si>
    <t xml:space="preserve">Argia </t>
  </si>
  <si>
    <t>tibialis</t>
  </si>
  <si>
    <t>Argia</t>
  </si>
  <si>
    <t>Northern Green Striped Grasshopper</t>
  </si>
  <si>
    <t xml:space="preserve">Acrididae </t>
  </si>
  <si>
    <t>Two Striped Grasshopper</t>
  </si>
  <si>
    <t>Spur-throated Grasshopper</t>
  </si>
  <si>
    <t xml:space="preserve">sp. </t>
  </si>
  <si>
    <t xml:space="preserve">Katydid </t>
  </si>
  <si>
    <t>Tettigoniidae</t>
  </si>
  <si>
    <t xml:space="preserve">Earwig </t>
  </si>
  <si>
    <t>Dermaptera</t>
  </si>
  <si>
    <t>Lacewing</t>
  </si>
  <si>
    <t>Neuroptera</t>
  </si>
  <si>
    <t xml:space="preserve">Termite </t>
  </si>
  <si>
    <t>(Isoptera)</t>
  </si>
  <si>
    <t>Blattodea</t>
  </si>
  <si>
    <t>Heptageniidae</t>
  </si>
  <si>
    <t>Mantis</t>
  </si>
  <si>
    <t>Mantodea</t>
  </si>
  <si>
    <t>Gray Fishfly</t>
  </si>
  <si>
    <t>Corydalidae</t>
  </si>
  <si>
    <t>Megaloptera</t>
  </si>
  <si>
    <t>Thrip</t>
  </si>
  <si>
    <t>Thysanoptera</t>
  </si>
  <si>
    <t>Springtail</t>
  </si>
  <si>
    <t>Collembola</t>
  </si>
  <si>
    <t>Red Velvet Mite</t>
  </si>
  <si>
    <t>Trombidiidae</t>
  </si>
  <si>
    <t>Actinedida</t>
  </si>
  <si>
    <t>Parasitic Mite</t>
  </si>
  <si>
    <t xml:space="preserve">Deer Tick </t>
  </si>
  <si>
    <t>Ixodes</t>
  </si>
  <si>
    <t>scapularis</t>
  </si>
  <si>
    <t>Ixodidae</t>
  </si>
  <si>
    <t>Ixodida</t>
  </si>
  <si>
    <t>Harvestman</t>
  </si>
  <si>
    <t xml:space="preserve">Sclerosomatidae </t>
  </si>
  <si>
    <t>Opiliones</t>
  </si>
  <si>
    <t>Harvestman #1</t>
  </si>
  <si>
    <t>Harvestman #2</t>
  </si>
  <si>
    <t>Tetragnathidae</t>
  </si>
  <si>
    <t>Araneae</t>
  </si>
  <si>
    <t>Jumping Spiders #1</t>
  </si>
  <si>
    <t>Jumping Spiders #2</t>
  </si>
  <si>
    <t>Jumping Spiders #3</t>
  </si>
  <si>
    <t>Jumping Spiders #4</t>
  </si>
  <si>
    <t>unidentified spider #1</t>
  </si>
  <si>
    <t>unidentified spider #2</t>
  </si>
  <si>
    <t>Woodlouse #1</t>
  </si>
  <si>
    <t>Woodlouse #2</t>
  </si>
  <si>
    <t>Woodlouse #3</t>
  </si>
  <si>
    <t>Millipede #1</t>
  </si>
  <si>
    <t>Diplopoda</t>
  </si>
  <si>
    <t>Millipede #2</t>
  </si>
  <si>
    <t>PLANTS</t>
  </si>
  <si>
    <t>FISH</t>
  </si>
  <si>
    <t>AMPHIBIANS &amp; REPTILES</t>
  </si>
  <si>
    <t>BIRDS</t>
  </si>
  <si>
    <t>MAMMALS</t>
  </si>
  <si>
    <t>AQUATIC INVERTEBRATES</t>
  </si>
  <si>
    <t xml:space="preserve">FUNGI </t>
  </si>
  <si>
    <t>LICHENS</t>
  </si>
  <si>
    <t>Other Arthropods</t>
  </si>
  <si>
    <t>Total Number = 197 + 20 other arthropods (+ approximately 50+ immatures, unidentifyable photographs, specimens in alcohol)</t>
  </si>
  <si>
    <t>INSECTS OTHER ARTHROPODS</t>
  </si>
  <si>
    <t>Total</t>
  </si>
  <si>
    <t>OTHER ARTHROPODS (spiders, mites, etc.)</t>
  </si>
  <si>
    <t>AAAAADdX/Ug=</t>
  </si>
  <si>
    <t>AAAAADdX/Uk=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</si>
</sst>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6"/>
      <name val="Arial"/>
    </font>
    <font>
      <i/>
      <sz val="10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u/>
      <sz val="10"/>
      <name val="Arial"/>
    </font>
    <font>
      <b/>
      <u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b/>
      <i/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65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7" fillId="0" borderId="0" xfId="0" applyFont="1"/>
    <xf numFmtId="0" fontId="3" fillId="0" borderId="0" xfId="0" applyFont="1"/>
    <xf numFmtId="0" fontId="4" fillId="0" borderId="3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2" fillId="0" borderId="0" xfId="0" applyFont="1"/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/>
    <xf numFmtId="0" fontId="12" fillId="0" borderId="7" xfId="0" applyFont="1" applyBorder="1"/>
    <xf numFmtId="0" fontId="12" fillId="0" borderId="0" xfId="0" applyFont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Border="1"/>
    <xf numFmtId="0" fontId="14" fillId="0" borderId="0" xfId="0" applyFont="1" applyBorder="1"/>
    <xf numFmtId="0" fontId="14" fillId="0" borderId="0" xfId="0" applyFont="1"/>
    <xf numFmtId="0" fontId="14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16" fillId="0" borderId="2" xfId="0" applyFont="1" applyBorder="1"/>
    <xf numFmtId="0" fontId="16" fillId="0" borderId="0" xfId="0" applyFont="1" applyBorder="1"/>
    <xf numFmtId="0" fontId="16" fillId="0" borderId="0" xfId="0" applyFo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2" fillId="0" borderId="1" xfId="0" applyFont="1" applyBorder="1"/>
    <xf numFmtId="0" fontId="15" fillId="0" borderId="10" xfId="0" applyFont="1" applyBorder="1"/>
    <xf numFmtId="0" fontId="8" fillId="0" borderId="1" xfId="0" applyFont="1" applyBorder="1"/>
    <xf numFmtId="0" fontId="8" fillId="0" borderId="2" xfId="0" applyFont="1" applyBorder="1"/>
    <xf numFmtId="0" fontId="12" fillId="0" borderId="8" xfId="0" applyFont="1" applyBorder="1"/>
    <xf numFmtId="0" fontId="12" fillId="0" borderId="2" xfId="0" applyFont="1" applyBorder="1"/>
    <xf numFmtId="0" fontId="12" fillId="0" borderId="11" xfId="0" applyFont="1" applyBorder="1"/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0" xfId="0" applyFont="1" applyBorder="1"/>
    <xf numFmtId="0" fontId="3" fillId="0" borderId="13" xfId="0" applyFont="1" applyBorder="1"/>
    <xf numFmtId="0" fontId="3" fillId="0" borderId="11" xfId="0" applyFont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Fill="1" applyBorder="1"/>
    <xf numFmtId="0" fontId="0" fillId="0" borderId="1" xfId="0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/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8" fillId="0" borderId="0" xfId="1" applyAlignment="1">
      <alignment wrapText="1"/>
    </xf>
    <xf numFmtId="0" fontId="0" fillId="0" borderId="0" xfId="0" applyAlignment="1">
      <alignment wrapText="1"/>
    </xf>
    <xf numFmtId="0" fontId="18" fillId="0" borderId="0" xfId="1" applyFill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9" xfId="0" applyFont="1" applyBorder="1"/>
    <xf numFmtId="0" fontId="12" fillId="0" borderId="14" xfId="0" applyFont="1" applyBorder="1" applyAlignment="1">
      <alignment wrapText="1"/>
    </xf>
    <xf numFmtId="0" fontId="12" fillId="0" borderId="21" xfId="0" applyFont="1" applyBorder="1"/>
    <xf numFmtId="0" fontId="8" fillId="0" borderId="22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14" xfId="0" applyFont="1" applyBorder="1"/>
    <xf numFmtId="0" fontId="8" fillId="0" borderId="23" xfId="0" applyFont="1" applyFill="1" applyBorder="1" applyAlignment="1">
      <alignment horizontal="center" wrapText="1"/>
    </xf>
    <xf numFmtId="0" fontId="12" fillId="0" borderId="10" xfId="0" applyFont="1" applyBorder="1"/>
    <xf numFmtId="0" fontId="12" fillId="0" borderId="3" xfId="0" applyFont="1" applyBorder="1"/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8" fillId="0" borderId="8" xfId="0" applyFont="1" applyFill="1" applyBorder="1"/>
    <xf numFmtId="0" fontId="8" fillId="0" borderId="3" xfId="0" applyFont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20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20" fillId="0" borderId="0" xfId="0" applyFont="1" applyFill="1" applyBorder="1"/>
    <xf numFmtId="0" fontId="2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Border="1"/>
    <xf numFmtId="0" fontId="12" fillId="0" borderId="0" xfId="0" applyFont="1" applyFill="1" applyBorder="1"/>
    <xf numFmtId="0" fontId="20" fillId="0" borderId="9" xfId="0" applyFont="1" applyBorder="1"/>
    <xf numFmtId="0" fontId="20" fillId="0" borderId="26" xfId="0" applyFont="1" applyFill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3" fillId="0" borderId="14" xfId="0" applyFont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wrapText="1"/>
    </xf>
    <xf numFmtId="0" fontId="24" fillId="0" borderId="3" xfId="0" applyFont="1" applyBorder="1"/>
    <xf numFmtId="0" fontId="24" fillId="0" borderId="27" xfId="0" applyFont="1" applyBorder="1"/>
    <xf numFmtId="0" fontId="24" fillId="0" borderId="4" xfId="0" applyFont="1" applyBorder="1" applyAlignment="1">
      <alignment horizontal="center" wrapText="1"/>
    </xf>
    <xf numFmtId="0" fontId="18" fillId="0" borderId="0" xfId="1" applyFont="1" applyAlignment="1">
      <alignment wrapText="1"/>
    </xf>
    <xf numFmtId="0" fontId="18" fillId="0" borderId="0" xfId="1" applyFont="1" applyFill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7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/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0" fillId="0" borderId="15" xfId="0" applyBorder="1"/>
    <xf numFmtId="0" fontId="0" fillId="0" borderId="0" xfId="0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0" fontId="18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tabSelected="1" workbookViewId="0">
      <selection activeCell="BU89" sqref="BU89"/>
    </sheetView>
  </sheetViews>
  <sheetFormatPr defaultRowHeight="12.75"/>
  <cols>
    <col min="1" max="1" width="39.28515625" customWidth="1"/>
  </cols>
  <sheetData>
    <row r="1" spans="1:2">
      <c r="A1" t="s">
        <v>1557</v>
      </c>
      <c r="B1">
        <v>33</v>
      </c>
    </row>
    <row r="2" spans="1:2">
      <c r="A2" t="s">
        <v>1558</v>
      </c>
      <c r="B2">
        <v>7</v>
      </c>
    </row>
    <row r="3" spans="1:2">
      <c r="A3" t="s">
        <v>1551</v>
      </c>
      <c r="B3">
        <v>267</v>
      </c>
    </row>
    <row r="4" spans="1:2">
      <c r="A4" t="s">
        <v>1556</v>
      </c>
      <c r="B4">
        <v>15</v>
      </c>
    </row>
    <row r="5" spans="1:2">
      <c r="A5" s="8" t="s">
        <v>1561</v>
      </c>
      <c r="B5">
        <v>197</v>
      </c>
    </row>
    <row r="6" spans="1:2">
      <c r="A6" s="8" t="s">
        <v>1563</v>
      </c>
      <c r="B6">
        <v>20</v>
      </c>
    </row>
    <row r="7" spans="1:2">
      <c r="A7" t="s">
        <v>1552</v>
      </c>
      <c r="B7">
        <v>21</v>
      </c>
    </row>
    <row r="8" spans="1:2">
      <c r="A8" t="s">
        <v>1553</v>
      </c>
      <c r="B8">
        <v>6</v>
      </c>
    </row>
    <row r="9" spans="1:2">
      <c r="A9" t="s">
        <v>1554</v>
      </c>
      <c r="B9">
        <v>60</v>
      </c>
    </row>
    <row r="10" spans="1:2">
      <c r="A10" t="s">
        <v>1555</v>
      </c>
      <c r="B10">
        <v>9</v>
      </c>
    </row>
    <row r="11" spans="1:2">
      <c r="A11" s="2" t="s">
        <v>1562</v>
      </c>
      <c r="B11" s="2">
        <f>SUM(B1:B10)</f>
        <v>635</v>
      </c>
    </row>
  </sheetData>
  <phoneticPr fontId="2" type="noConversion"/>
  <pageMargins left="0.75" right="0.75" top="1" bottom="1" header="0.5" footer="0.5"/>
  <headerFooter alignWithMargins="0"/>
  <customProperties>
    <customPr name="DVSECTION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282"/>
  <sheetViews>
    <sheetView topLeftCell="A187" workbookViewId="0">
      <selection activeCell="B225" sqref="B225"/>
    </sheetView>
  </sheetViews>
  <sheetFormatPr defaultRowHeight="12.75"/>
  <cols>
    <col min="1" max="1" width="4.5703125" style="145" customWidth="1"/>
    <col min="2" max="2" width="32.140625" style="8" customWidth="1"/>
    <col min="3" max="3" width="13.85546875" style="7" customWidth="1"/>
    <col min="4" max="4" width="19.42578125" style="7" customWidth="1"/>
    <col min="5" max="5" width="14" style="8" customWidth="1"/>
    <col min="6" max="6" width="16" style="8" customWidth="1"/>
    <col min="7" max="7" width="14" style="8" customWidth="1"/>
    <col min="8" max="8" width="12.85546875" style="8" customWidth="1"/>
    <col min="9" max="15" width="7.7109375" style="8" customWidth="1"/>
    <col min="16" max="16384" width="9.140625" style="8"/>
  </cols>
  <sheetData>
    <row r="1" spans="1:16" s="1" customFormat="1">
      <c r="A1" s="160" t="s">
        <v>84</v>
      </c>
      <c r="B1" s="160"/>
      <c r="C1" s="160"/>
      <c r="D1" s="160"/>
      <c r="E1" s="160"/>
      <c r="F1" s="160"/>
      <c r="G1" s="160"/>
      <c r="H1" s="160"/>
    </row>
    <row r="2" spans="1:16" s="1" customFormat="1" ht="13.5" thickBot="1">
      <c r="A2" s="138"/>
      <c r="B2" s="1" t="s">
        <v>11</v>
      </c>
      <c r="C2" s="2"/>
      <c r="D2" s="2"/>
    </row>
    <row r="3" spans="1:16" s="1" customFormat="1" ht="26.25" thickBot="1">
      <c r="A3" s="138"/>
      <c r="B3" s="139" t="s">
        <v>6</v>
      </c>
      <c r="C3" s="140" t="s">
        <v>7</v>
      </c>
      <c r="D3" s="140" t="s">
        <v>1215</v>
      </c>
      <c r="E3" s="140" t="s">
        <v>1216</v>
      </c>
      <c r="F3" s="140" t="s">
        <v>1</v>
      </c>
      <c r="G3" s="140" t="s">
        <v>2</v>
      </c>
      <c r="H3" s="140" t="s">
        <v>3</v>
      </c>
      <c r="I3" s="140" t="s">
        <v>4</v>
      </c>
      <c r="J3" s="141" t="s">
        <v>1217</v>
      </c>
      <c r="K3" s="142" t="s">
        <v>1218</v>
      </c>
      <c r="L3" s="142" t="s">
        <v>1219</v>
      </c>
      <c r="M3" s="142" t="s">
        <v>1220</v>
      </c>
      <c r="N3" s="143" t="s">
        <v>1221</v>
      </c>
      <c r="O3" s="143" t="s">
        <v>1222</v>
      </c>
      <c r="P3" s="144" t="s">
        <v>8</v>
      </c>
    </row>
    <row r="4" spans="1:16">
      <c r="A4" s="145">
        <v>1</v>
      </c>
      <c r="B4" s="8" t="s">
        <v>1223</v>
      </c>
      <c r="C4" s="7" t="s">
        <v>1180</v>
      </c>
      <c r="D4" s="7" t="s">
        <v>1224</v>
      </c>
      <c r="E4" s="8" t="s">
        <v>1225</v>
      </c>
      <c r="F4" s="8" t="s">
        <v>1226</v>
      </c>
      <c r="G4" s="64" t="s">
        <v>1090</v>
      </c>
      <c r="H4" s="62" t="s">
        <v>1227</v>
      </c>
    </row>
    <row r="5" spans="1:16">
      <c r="A5" s="145">
        <v>2</v>
      </c>
      <c r="B5" s="8" t="s">
        <v>1228</v>
      </c>
      <c r="C5" s="7" t="s">
        <v>1181</v>
      </c>
      <c r="D5" s="7" t="s">
        <v>1182</v>
      </c>
      <c r="E5" s="8" t="s">
        <v>1225</v>
      </c>
      <c r="F5" s="8" t="s">
        <v>1094</v>
      </c>
      <c r="G5" s="64" t="s">
        <v>1090</v>
      </c>
      <c r="H5" s="62" t="s">
        <v>1227</v>
      </c>
    </row>
    <row r="6" spans="1:16">
      <c r="A6" s="146">
        <v>3</v>
      </c>
      <c r="B6" s="8" t="s">
        <v>1229</v>
      </c>
      <c r="C6" s="7" t="s">
        <v>1230</v>
      </c>
      <c r="F6" s="8" t="s">
        <v>1094</v>
      </c>
      <c r="G6" s="64" t="s">
        <v>1090</v>
      </c>
      <c r="H6" s="62" t="s">
        <v>1227</v>
      </c>
    </row>
    <row r="7" spans="1:16">
      <c r="A7" s="145">
        <v>4</v>
      </c>
      <c r="B7" s="8" t="s">
        <v>1231</v>
      </c>
      <c r="C7" s="7" t="s">
        <v>1230</v>
      </c>
      <c r="F7" s="8" t="s">
        <v>1094</v>
      </c>
      <c r="G7" s="64" t="s">
        <v>1090</v>
      </c>
      <c r="H7" s="62" t="s">
        <v>1227</v>
      </c>
    </row>
    <row r="8" spans="1:16">
      <c r="A8" s="145">
        <v>5</v>
      </c>
      <c r="B8" s="8" t="s">
        <v>1232</v>
      </c>
      <c r="C8" s="7" t="s">
        <v>1230</v>
      </c>
      <c r="F8" s="8" t="s">
        <v>1094</v>
      </c>
      <c r="G8" s="64" t="s">
        <v>1090</v>
      </c>
      <c r="H8" s="62" t="s">
        <v>1227</v>
      </c>
    </row>
    <row r="9" spans="1:16">
      <c r="A9" s="145">
        <v>6</v>
      </c>
      <c r="B9" s="8" t="s">
        <v>1087</v>
      </c>
      <c r="C9" s="7" t="s">
        <v>1088</v>
      </c>
      <c r="D9" s="7" t="s">
        <v>1089</v>
      </c>
      <c r="E9" s="8" t="s">
        <v>1233</v>
      </c>
      <c r="F9" s="8" t="s">
        <v>1234</v>
      </c>
      <c r="G9" s="64" t="s">
        <v>1090</v>
      </c>
      <c r="H9" s="62" t="s">
        <v>1227</v>
      </c>
      <c r="I9" s="62"/>
      <c r="J9" s="147"/>
      <c r="K9" s="147"/>
      <c r="L9" s="147"/>
      <c r="M9" s="147"/>
      <c r="N9" s="147"/>
      <c r="O9" s="147"/>
      <c r="P9" s="62"/>
    </row>
    <row r="10" spans="1:16">
      <c r="A10" s="146">
        <v>7</v>
      </c>
      <c r="B10" s="8" t="s">
        <v>1235</v>
      </c>
      <c r="C10" s="7" t="s">
        <v>1167</v>
      </c>
      <c r="D10" s="7" t="s">
        <v>1236</v>
      </c>
      <c r="E10" s="8" t="s">
        <v>1237</v>
      </c>
      <c r="F10" s="8" t="s">
        <v>1238</v>
      </c>
      <c r="G10" s="64" t="s">
        <v>1090</v>
      </c>
      <c r="H10" s="62" t="s">
        <v>1227</v>
      </c>
    </row>
    <row r="11" spans="1:16">
      <c r="A11" s="145">
        <v>8</v>
      </c>
      <c r="B11" s="8" t="s">
        <v>1239</v>
      </c>
      <c r="C11" s="7" t="s">
        <v>1170</v>
      </c>
      <c r="D11" s="7" t="s">
        <v>1171</v>
      </c>
      <c r="E11" s="8" t="s">
        <v>1240</v>
      </c>
      <c r="F11" s="8" t="s">
        <v>1241</v>
      </c>
      <c r="G11" s="64" t="s">
        <v>1090</v>
      </c>
      <c r="H11" s="62" t="s">
        <v>1227</v>
      </c>
    </row>
    <row r="12" spans="1:16">
      <c r="A12" s="145">
        <v>9</v>
      </c>
      <c r="B12" s="8" t="s">
        <v>1242</v>
      </c>
      <c r="C12" s="7" t="s">
        <v>1172</v>
      </c>
      <c r="D12" s="7" t="s">
        <v>1173</v>
      </c>
      <c r="E12" s="8" t="s">
        <v>1243</v>
      </c>
      <c r="F12" s="8" t="s">
        <v>1241</v>
      </c>
      <c r="G12" s="64" t="s">
        <v>1090</v>
      </c>
      <c r="H12" s="62" t="s">
        <v>1227</v>
      </c>
    </row>
    <row r="13" spans="1:16">
      <c r="A13" s="145">
        <v>10</v>
      </c>
      <c r="B13" s="8" t="s">
        <v>1244</v>
      </c>
      <c r="C13" s="7" t="s">
        <v>1174</v>
      </c>
      <c r="D13" s="7" t="s">
        <v>1175</v>
      </c>
      <c r="E13" s="8" t="s">
        <v>1245</v>
      </c>
      <c r="F13" s="8" t="s">
        <v>1246</v>
      </c>
      <c r="G13" s="64" t="s">
        <v>1090</v>
      </c>
      <c r="H13" s="62" t="s">
        <v>1227</v>
      </c>
    </row>
    <row r="14" spans="1:16">
      <c r="A14" s="145">
        <v>11</v>
      </c>
      <c r="B14" s="8" t="s">
        <v>1247</v>
      </c>
      <c r="C14" s="7" t="s">
        <v>1176</v>
      </c>
      <c r="D14" s="7" t="s">
        <v>1177</v>
      </c>
      <c r="E14" s="8" t="s">
        <v>1245</v>
      </c>
      <c r="F14" s="8" t="s">
        <v>1246</v>
      </c>
      <c r="G14" s="64" t="s">
        <v>1090</v>
      </c>
      <c r="H14" s="62" t="s">
        <v>1227</v>
      </c>
    </row>
    <row r="15" spans="1:16">
      <c r="A15" s="146">
        <v>12</v>
      </c>
      <c r="B15" s="8" t="s">
        <v>1248</v>
      </c>
      <c r="C15" s="7" t="s">
        <v>1178</v>
      </c>
      <c r="D15" s="7" t="s">
        <v>1179</v>
      </c>
      <c r="E15" s="8" t="s">
        <v>1249</v>
      </c>
      <c r="F15" s="8" t="s">
        <v>1246</v>
      </c>
      <c r="G15" s="64" t="s">
        <v>1090</v>
      </c>
      <c r="H15" s="62" t="s">
        <v>1227</v>
      </c>
    </row>
    <row r="16" spans="1:16">
      <c r="A16" s="145">
        <v>13</v>
      </c>
      <c r="B16" s="8" t="s">
        <v>1250</v>
      </c>
      <c r="C16" s="7" t="s">
        <v>1168</v>
      </c>
      <c r="D16" s="7" t="s">
        <v>1169</v>
      </c>
      <c r="E16" s="8" t="s">
        <v>1251</v>
      </c>
      <c r="F16" s="8" t="s">
        <v>1252</v>
      </c>
      <c r="G16" s="64" t="s">
        <v>1090</v>
      </c>
      <c r="H16" s="62" t="s">
        <v>1227</v>
      </c>
    </row>
    <row r="17" spans="1:10">
      <c r="A17" s="145">
        <v>14</v>
      </c>
      <c r="B17" s="8" t="s">
        <v>1253</v>
      </c>
      <c r="C17" s="7" t="s">
        <v>1230</v>
      </c>
      <c r="F17" s="8" t="s">
        <v>1254</v>
      </c>
      <c r="G17" s="64" t="s">
        <v>1090</v>
      </c>
      <c r="H17" s="62" t="s">
        <v>1227</v>
      </c>
    </row>
    <row r="18" spans="1:10">
      <c r="A18" s="145">
        <v>15</v>
      </c>
      <c r="B18" s="8" t="s">
        <v>1255</v>
      </c>
      <c r="C18" s="7" t="s">
        <v>1091</v>
      </c>
      <c r="D18" s="7" t="s">
        <v>1110</v>
      </c>
      <c r="E18" s="8" t="s">
        <v>1256</v>
      </c>
      <c r="F18" s="8" t="s">
        <v>1257</v>
      </c>
      <c r="G18" s="64" t="s">
        <v>1090</v>
      </c>
      <c r="H18" s="62" t="s">
        <v>1227</v>
      </c>
    </row>
    <row r="19" spans="1:10">
      <c r="A19" s="146">
        <v>16</v>
      </c>
      <c r="B19" s="8" t="s">
        <v>1258</v>
      </c>
      <c r="C19" s="7" t="s">
        <v>1092</v>
      </c>
      <c r="D19" s="7" t="s">
        <v>1093</v>
      </c>
      <c r="E19" s="8" t="s">
        <v>1259</v>
      </c>
      <c r="F19" s="8" t="s">
        <v>1260</v>
      </c>
      <c r="G19" s="64" t="s">
        <v>1090</v>
      </c>
      <c r="H19" s="62" t="s">
        <v>1227</v>
      </c>
    </row>
    <row r="20" spans="1:10">
      <c r="A20" s="145">
        <v>17</v>
      </c>
      <c r="B20" s="8" t="s">
        <v>1258</v>
      </c>
      <c r="C20" s="7" t="s">
        <v>1092</v>
      </c>
      <c r="D20" s="7" t="s">
        <v>1185</v>
      </c>
      <c r="E20" s="8" t="s">
        <v>1259</v>
      </c>
      <c r="F20" s="8" t="s">
        <v>1260</v>
      </c>
      <c r="G20" s="64" t="s">
        <v>1090</v>
      </c>
      <c r="H20" s="62" t="s">
        <v>1227</v>
      </c>
    </row>
    <row r="21" spans="1:10">
      <c r="A21" s="145">
        <v>18</v>
      </c>
      <c r="B21" s="8" t="s">
        <v>1261</v>
      </c>
      <c r="C21" s="7" t="s">
        <v>1230</v>
      </c>
      <c r="F21" s="8" t="s">
        <v>1260</v>
      </c>
      <c r="G21" s="64" t="s">
        <v>1090</v>
      </c>
      <c r="H21" s="62" t="s">
        <v>1227</v>
      </c>
    </row>
    <row r="22" spans="1:10">
      <c r="A22" s="145">
        <v>19</v>
      </c>
      <c r="B22" s="8" t="s">
        <v>1262</v>
      </c>
      <c r="C22" s="7" t="s">
        <v>1230</v>
      </c>
      <c r="F22" s="8" t="s">
        <v>1260</v>
      </c>
      <c r="G22" s="64" t="s">
        <v>1090</v>
      </c>
      <c r="H22" s="62" t="s">
        <v>1227</v>
      </c>
    </row>
    <row r="23" spans="1:10">
      <c r="A23" s="145">
        <v>20</v>
      </c>
      <c r="B23" s="8" t="s">
        <v>1258</v>
      </c>
      <c r="C23" s="7" t="s">
        <v>1183</v>
      </c>
      <c r="D23" s="7" t="s">
        <v>1184</v>
      </c>
      <c r="E23" s="8" t="s">
        <v>1263</v>
      </c>
      <c r="F23" s="8" t="s">
        <v>1260</v>
      </c>
      <c r="G23" s="64" t="s">
        <v>1090</v>
      </c>
      <c r="H23" s="62" t="s">
        <v>1227</v>
      </c>
    </row>
    <row r="24" spans="1:10">
      <c r="A24" s="146">
        <v>21</v>
      </c>
      <c r="B24" s="8" t="s">
        <v>1258</v>
      </c>
      <c r="C24" s="7" t="s">
        <v>1186</v>
      </c>
      <c r="D24" s="7" t="s">
        <v>1110</v>
      </c>
      <c r="E24" s="8" t="s">
        <v>1263</v>
      </c>
      <c r="F24" s="8" t="s">
        <v>1260</v>
      </c>
      <c r="G24" s="64" t="s">
        <v>1090</v>
      </c>
      <c r="H24" s="62" t="s">
        <v>1227</v>
      </c>
    </row>
    <row r="25" spans="1:10">
      <c r="A25" s="145">
        <v>22</v>
      </c>
      <c r="B25" s="8" t="s">
        <v>1264</v>
      </c>
      <c r="C25" s="7" t="s">
        <v>1230</v>
      </c>
      <c r="G25" s="64" t="s">
        <v>1090</v>
      </c>
      <c r="H25" s="62" t="s">
        <v>1227</v>
      </c>
      <c r="J25" s="8">
        <v>1</v>
      </c>
    </row>
    <row r="26" spans="1:10">
      <c r="A26" s="145">
        <v>23</v>
      </c>
      <c r="B26" s="8" t="s">
        <v>1265</v>
      </c>
      <c r="C26" s="7" t="s">
        <v>1230</v>
      </c>
      <c r="G26" s="64" t="s">
        <v>1090</v>
      </c>
      <c r="H26" s="62" t="s">
        <v>1227</v>
      </c>
      <c r="J26" s="8">
        <v>1</v>
      </c>
    </row>
    <row r="27" spans="1:10">
      <c r="A27" s="145">
        <v>24</v>
      </c>
      <c r="B27" s="8" t="s">
        <v>1266</v>
      </c>
      <c r="C27" s="7" t="s">
        <v>1230</v>
      </c>
      <c r="G27" s="64" t="s">
        <v>1090</v>
      </c>
      <c r="H27" s="62" t="s">
        <v>1227</v>
      </c>
      <c r="J27" s="8">
        <v>1</v>
      </c>
    </row>
    <row r="28" spans="1:10">
      <c r="A28" s="146">
        <v>25</v>
      </c>
      <c r="B28" s="8" t="s">
        <v>1267</v>
      </c>
      <c r="C28" s="7" t="s">
        <v>1230</v>
      </c>
      <c r="G28" s="64" t="s">
        <v>1090</v>
      </c>
      <c r="H28" s="62" t="s">
        <v>1227</v>
      </c>
      <c r="J28" s="8">
        <v>1</v>
      </c>
    </row>
    <row r="29" spans="1:10">
      <c r="A29" s="145">
        <v>26</v>
      </c>
      <c r="B29" s="8" t="s">
        <v>1268</v>
      </c>
      <c r="C29" s="7" t="s">
        <v>1165</v>
      </c>
      <c r="D29" s="7" t="s">
        <v>1166</v>
      </c>
      <c r="E29" s="8" t="s">
        <v>1269</v>
      </c>
      <c r="F29" s="8" t="s">
        <v>1270</v>
      </c>
      <c r="G29" s="64" t="s">
        <v>1090</v>
      </c>
      <c r="H29" s="62" t="s">
        <v>1227</v>
      </c>
    </row>
    <row r="30" spans="1:10">
      <c r="A30" s="145">
        <v>27</v>
      </c>
      <c r="B30" s="8" t="s">
        <v>1099</v>
      </c>
      <c r="C30" s="7" t="s">
        <v>1100</v>
      </c>
      <c r="D30" s="7" t="s">
        <v>1101</v>
      </c>
      <c r="E30" s="8" t="s">
        <v>1269</v>
      </c>
      <c r="F30" s="8" t="s">
        <v>1270</v>
      </c>
      <c r="G30" s="64" t="s">
        <v>1090</v>
      </c>
      <c r="H30" s="62" t="s">
        <v>1227</v>
      </c>
    </row>
    <row r="31" spans="1:10">
      <c r="A31" s="145">
        <v>28</v>
      </c>
      <c r="B31" s="8" t="s">
        <v>1271</v>
      </c>
      <c r="C31" s="7" t="s">
        <v>1095</v>
      </c>
      <c r="D31" s="7" t="s">
        <v>1110</v>
      </c>
      <c r="E31" s="8" t="s">
        <v>1272</v>
      </c>
      <c r="F31" s="8" t="s">
        <v>1273</v>
      </c>
      <c r="G31" s="64" t="s">
        <v>1090</v>
      </c>
      <c r="H31" s="62" t="s">
        <v>1227</v>
      </c>
    </row>
    <row r="32" spans="1:10">
      <c r="A32" s="145">
        <v>29</v>
      </c>
      <c r="B32" s="8" t="s">
        <v>1096</v>
      </c>
      <c r="C32" s="7" t="s">
        <v>1097</v>
      </c>
      <c r="D32" s="7" t="s">
        <v>1098</v>
      </c>
      <c r="E32" s="8" t="s">
        <v>1274</v>
      </c>
      <c r="F32" s="8" t="s">
        <v>1275</v>
      </c>
      <c r="G32" s="64" t="s">
        <v>1090</v>
      </c>
      <c r="H32" s="62" t="s">
        <v>1227</v>
      </c>
    </row>
    <row r="33" spans="1:10">
      <c r="A33" s="146">
        <v>30</v>
      </c>
      <c r="B33" s="8" t="s">
        <v>1276</v>
      </c>
      <c r="C33" s="7" t="s">
        <v>1277</v>
      </c>
      <c r="D33" s="7" t="s">
        <v>1162</v>
      </c>
      <c r="E33" s="8" t="s">
        <v>1278</v>
      </c>
      <c r="F33" s="8" t="s">
        <v>1279</v>
      </c>
      <c r="G33" s="64" t="s">
        <v>1090</v>
      </c>
      <c r="H33" s="62" t="s">
        <v>1227</v>
      </c>
    </row>
    <row r="34" spans="1:10">
      <c r="A34" s="145">
        <v>31</v>
      </c>
      <c r="B34" s="8" t="s">
        <v>1280</v>
      </c>
      <c r="C34" s="7" t="s">
        <v>1281</v>
      </c>
      <c r="D34" s="7" t="s">
        <v>1282</v>
      </c>
      <c r="E34" s="8" t="s">
        <v>1283</v>
      </c>
      <c r="F34" s="8" t="s">
        <v>1284</v>
      </c>
      <c r="G34" s="64" t="s">
        <v>1090</v>
      </c>
      <c r="H34" s="62" t="s">
        <v>1227</v>
      </c>
    </row>
    <row r="35" spans="1:10">
      <c r="A35" s="145">
        <v>32</v>
      </c>
      <c r="B35" s="8" t="s">
        <v>1285</v>
      </c>
      <c r="C35" s="7" t="s">
        <v>1163</v>
      </c>
      <c r="D35" s="7" t="s">
        <v>1164</v>
      </c>
      <c r="E35" s="8" t="s">
        <v>1283</v>
      </c>
      <c r="F35" s="8" t="s">
        <v>1284</v>
      </c>
      <c r="G35" s="64" t="s">
        <v>1090</v>
      </c>
      <c r="H35" s="62" t="s">
        <v>1227</v>
      </c>
    </row>
    <row r="36" spans="1:10">
      <c r="A36" s="145">
        <v>33</v>
      </c>
      <c r="B36" s="8" t="s">
        <v>1286</v>
      </c>
      <c r="C36" s="7" t="s">
        <v>1109</v>
      </c>
      <c r="D36" s="7" t="s">
        <v>1110</v>
      </c>
      <c r="E36" s="8" t="s">
        <v>1287</v>
      </c>
      <c r="F36" s="8" t="s">
        <v>1288</v>
      </c>
      <c r="G36" s="64" t="s">
        <v>1102</v>
      </c>
      <c r="H36" s="62" t="s">
        <v>1227</v>
      </c>
    </row>
    <row r="37" spans="1:10">
      <c r="A37" s="146">
        <v>34</v>
      </c>
      <c r="B37" s="8" t="s">
        <v>1286</v>
      </c>
      <c r="C37" s="7" t="s">
        <v>1230</v>
      </c>
      <c r="F37" s="8" t="s">
        <v>1288</v>
      </c>
      <c r="G37" s="64" t="s">
        <v>1102</v>
      </c>
      <c r="H37" s="62" t="s">
        <v>1227</v>
      </c>
    </row>
    <row r="38" spans="1:10">
      <c r="A38" s="145">
        <v>35</v>
      </c>
      <c r="B38" s="8" t="s">
        <v>1289</v>
      </c>
      <c r="C38" s="7" t="s">
        <v>1230</v>
      </c>
      <c r="F38" s="8" t="s">
        <v>1290</v>
      </c>
      <c r="G38" s="64" t="s">
        <v>1102</v>
      </c>
      <c r="H38" s="62" t="s">
        <v>1227</v>
      </c>
      <c r="J38" s="8">
        <v>1</v>
      </c>
    </row>
    <row r="39" spans="1:10">
      <c r="A39" s="145">
        <v>36</v>
      </c>
      <c r="B39" s="8" t="s">
        <v>1291</v>
      </c>
      <c r="C39" s="7" t="s">
        <v>1230</v>
      </c>
      <c r="F39" s="8" t="s">
        <v>1290</v>
      </c>
      <c r="G39" s="64" t="s">
        <v>1102</v>
      </c>
      <c r="H39" s="62" t="s">
        <v>1227</v>
      </c>
      <c r="J39" s="8">
        <v>1</v>
      </c>
    </row>
    <row r="40" spans="1:10">
      <c r="A40" s="145">
        <v>37</v>
      </c>
      <c r="B40" s="8" t="s">
        <v>1292</v>
      </c>
      <c r="C40" s="7" t="s">
        <v>1105</v>
      </c>
      <c r="D40" s="7" t="s">
        <v>1106</v>
      </c>
      <c r="F40" s="8" t="s">
        <v>1290</v>
      </c>
      <c r="G40" s="64" t="s">
        <v>1102</v>
      </c>
      <c r="H40" s="62" t="s">
        <v>1227</v>
      </c>
      <c r="J40" s="8">
        <v>2</v>
      </c>
    </row>
    <row r="41" spans="1:10">
      <c r="A41" s="145">
        <v>38</v>
      </c>
      <c r="B41" s="8" t="s">
        <v>1293</v>
      </c>
      <c r="C41" s="7" t="s">
        <v>1196</v>
      </c>
      <c r="D41" s="7" t="s">
        <v>1197</v>
      </c>
      <c r="E41" s="8" t="s">
        <v>1294</v>
      </c>
      <c r="F41" s="8" t="s">
        <v>1111</v>
      </c>
      <c r="G41" s="64" t="s">
        <v>1102</v>
      </c>
      <c r="H41" s="62" t="s">
        <v>1227</v>
      </c>
    </row>
    <row r="42" spans="1:10">
      <c r="A42" s="146">
        <v>39</v>
      </c>
      <c r="B42" s="8" t="s">
        <v>1295</v>
      </c>
      <c r="C42" s="7" t="s">
        <v>1230</v>
      </c>
      <c r="F42" s="8" t="s">
        <v>1111</v>
      </c>
      <c r="G42" s="64" t="s">
        <v>1102</v>
      </c>
      <c r="H42" s="62" t="s">
        <v>1227</v>
      </c>
      <c r="J42" s="8">
        <v>2</v>
      </c>
    </row>
    <row r="43" spans="1:10">
      <c r="A43" s="145">
        <v>40</v>
      </c>
      <c r="B43" s="8" t="s">
        <v>1296</v>
      </c>
      <c r="C43" s="7" t="s">
        <v>1230</v>
      </c>
      <c r="F43" s="8" t="s">
        <v>1111</v>
      </c>
      <c r="G43" s="64" t="s">
        <v>1102</v>
      </c>
      <c r="H43" s="62" t="s">
        <v>1227</v>
      </c>
      <c r="J43" s="8">
        <v>1</v>
      </c>
    </row>
    <row r="44" spans="1:10">
      <c r="A44" s="145">
        <v>41</v>
      </c>
      <c r="B44" s="8" t="s">
        <v>1297</v>
      </c>
      <c r="C44" s="7" t="s">
        <v>1230</v>
      </c>
      <c r="F44" s="8" t="s">
        <v>1111</v>
      </c>
      <c r="G44" s="64" t="s">
        <v>1102</v>
      </c>
      <c r="H44" s="62" t="s">
        <v>1227</v>
      </c>
      <c r="J44" s="8">
        <v>1</v>
      </c>
    </row>
    <row r="45" spans="1:10">
      <c r="A45" s="145">
        <v>42</v>
      </c>
      <c r="B45" s="8" t="s">
        <v>1298</v>
      </c>
      <c r="C45" s="7" t="s">
        <v>1230</v>
      </c>
      <c r="F45" s="8" t="s">
        <v>1111</v>
      </c>
      <c r="G45" s="64" t="s">
        <v>1102</v>
      </c>
      <c r="H45" s="62" t="s">
        <v>1227</v>
      </c>
      <c r="J45" s="8">
        <v>1</v>
      </c>
    </row>
    <row r="46" spans="1:10">
      <c r="A46" s="146">
        <v>43</v>
      </c>
      <c r="B46" s="8" t="s">
        <v>1299</v>
      </c>
      <c r="C46" s="7" t="s">
        <v>1230</v>
      </c>
      <c r="F46" s="8" t="s">
        <v>1111</v>
      </c>
      <c r="G46" s="64" t="s">
        <v>1102</v>
      </c>
      <c r="H46" s="62" t="s">
        <v>1227</v>
      </c>
      <c r="J46" s="8">
        <v>1</v>
      </c>
    </row>
    <row r="47" spans="1:10">
      <c r="A47" s="145">
        <v>44</v>
      </c>
      <c r="B47" s="8" t="s">
        <v>1300</v>
      </c>
      <c r="C47" s="7" t="s">
        <v>1230</v>
      </c>
      <c r="F47" s="8" t="s">
        <v>1111</v>
      </c>
      <c r="G47" s="64" t="s">
        <v>1102</v>
      </c>
      <c r="H47" s="62" t="s">
        <v>1227</v>
      </c>
      <c r="J47" s="8">
        <v>1</v>
      </c>
    </row>
    <row r="48" spans="1:10">
      <c r="A48" s="145">
        <v>45</v>
      </c>
      <c r="B48" s="8" t="s">
        <v>1301</v>
      </c>
      <c r="C48" s="7" t="s">
        <v>1230</v>
      </c>
      <c r="F48" s="8" t="s">
        <v>1111</v>
      </c>
      <c r="G48" s="64" t="s">
        <v>1102</v>
      </c>
      <c r="H48" s="62" t="s">
        <v>1227</v>
      </c>
      <c r="J48" s="8">
        <v>1</v>
      </c>
    </row>
    <row r="49" spans="1:13">
      <c r="A49" s="145">
        <v>46</v>
      </c>
      <c r="B49" s="8" t="s">
        <v>1302</v>
      </c>
      <c r="C49" s="7" t="s">
        <v>1230</v>
      </c>
      <c r="F49" s="8" t="s">
        <v>1111</v>
      </c>
      <c r="G49" s="64" t="s">
        <v>1102</v>
      </c>
      <c r="H49" s="62" t="s">
        <v>1227</v>
      </c>
      <c r="J49" s="8">
        <v>1</v>
      </c>
    </row>
    <row r="50" spans="1:13">
      <c r="A50" s="145">
        <v>47</v>
      </c>
      <c r="B50" s="8" t="s">
        <v>1303</v>
      </c>
      <c r="C50" s="7" t="s">
        <v>1230</v>
      </c>
      <c r="F50" s="8" t="s">
        <v>1304</v>
      </c>
      <c r="G50" s="64" t="s">
        <v>1102</v>
      </c>
      <c r="H50" s="8" t="s">
        <v>1227</v>
      </c>
      <c r="J50" s="8">
        <v>2</v>
      </c>
    </row>
    <row r="51" spans="1:13">
      <c r="A51" s="146">
        <v>48</v>
      </c>
      <c r="B51" s="8" t="s">
        <v>1305</v>
      </c>
      <c r="C51" s="7" t="s">
        <v>1306</v>
      </c>
      <c r="D51" s="7" t="s">
        <v>1110</v>
      </c>
      <c r="F51" s="8" t="s">
        <v>1307</v>
      </c>
      <c r="G51" s="64" t="s">
        <v>1102</v>
      </c>
      <c r="H51" s="8" t="s">
        <v>1227</v>
      </c>
      <c r="M51" s="8">
        <v>1</v>
      </c>
    </row>
    <row r="52" spans="1:13">
      <c r="A52" s="145">
        <v>49</v>
      </c>
      <c r="B52" s="8" t="s">
        <v>1305</v>
      </c>
      <c r="C52" s="7" t="s">
        <v>1192</v>
      </c>
      <c r="D52" s="7" t="s">
        <v>1193</v>
      </c>
      <c r="F52" s="8" t="s">
        <v>1307</v>
      </c>
      <c r="G52" s="64" t="s">
        <v>1102</v>
      </c>
      <c r="H52" s="8" t="s">
        <v>1227</v>
      </c>
    </row>
    <row r="53" spans="1:13">
      <c r="A53" s="145">
        <v>50</v>
      </c>
      <c r="B53" s="8" t="s">
        <v>1308</v>
      </c>
      <c r="C53" s="7" t="s">
        <v>1194</v>
      </c>
      <c r="D53" s="7" t="s">
        <v>1195</v>
      </c>
      <c r="F53" s="8" t="s">
        <v>1307</v>
      </c>
      <c r="G53" s="64" t="s">
        <v>1102</v>
      </c>
      <c r="H53" s="8" t="s">
        <v>1227</v>
      </c>
    </row>
    <row r="54" spans="1:13">
      <c r="A54" s="145">
        <v>51</v>
      </c>
      <c r="B54" s="8" t="s">
        <v>1309</v>
      </c>
      <c r="C54" s="7" t="s">
        <v>1107</v>
      </c>
      <c r="D54" s="7" t="s">
        <v>1108</v>
      </c>
      <c r="E54" s="8" t="s">
        <v>1310</v>
      </c>
      <c r="F54" s="8" t="s">
        <v>1311</v>
      </c>
      <c r="G54" s="64" t="s">
        <v>1102</v>
      </c>
      <c r="H54" s="62" t="s">
        <v>1227</v>
      </c>
      <c r="J54" s="8">
        <v>1</v>
      </c>
    </row>
    <row r="55" spans="1:13">
      <c r="A55" s="146">
        <v>52</v>
      </c>
      <c r="B55" s="8" t="s">
        <v>1312</v>
      </c>
      <c r="C55" s="7" t="s">
        <v>1103</v>
      </c>
      <c r="D55" s="7" t="s">
        <v>1104</v>
      </c>
      <c r="E55" s="8" t="s">
        <v>1310</v>
      </c>
      <c r="F55" s="8" t="s">
        <v>1313</v>
      </c>
      <c r="G55" s="64" t="s">
        <v>1102</v>
      </c>
      <c r="H55" s="62" t="s">
        <v>1227</v>
      </c>
      <c r="J55" s="8">
        <v>1</v>
      </c>
    </row>
    <row r="56" spans="1:13">
      <c r="A56" s="145">
        <v>53</v>
      </c>
      <c r="B56" s="8" t="s">
        <v>1314</v>
      </c>
      <c r="C56" s="7" t="s">
        <v>1315</v>
      </c>
      <c r="D56" s="7" t="s">
        <v>1110</v>
      </c>
      <c r="E56" s="8" t="s">
        <v>1316</v>
      </c>
      <c r="F56" s="8" t="s">
        <v>1313</v>
      </c>
      <c r="G56" s="64" t="s">
        <v>1102</v>
      </c>
      <c r="H56" s="62" t="s">
        <v>1227</v>
      </c>
      <c r="J56" s="8">
        <v>1</v>
      </c>
    </row>
    <row r="57" spans="1:13">
      <c r="A57" s="145">
        <v>54</v>
      </c>
      <c r="B57" s="8" t="s">
        <v>1317</v>
      </c>
      <c r="C57" s="7" t="s">
        <v>1230</v>
      </c>
      <c r="F57" s="8" t="s">
        <v>1313</v>
      </c>
      <c r="G57" s="64" t="s">
        <v>1102</v>
      </c>
      <c r="H57" s="62" t="s">
        <v>1227</v>
      </c>
      <c r="J57" s="8">
        <v>6</v>
      </c>
    </row>
    <row r="58" spans="1:13">
      <c r="A58" s="145">
        <v>55</v>
      </c>
      <c r="B58" s="8" t="s">
        <v>1318</v>
      </c>
      <c r="C58" s="7" t="s">
        <v>1230</v>
      </c>
      <c r="F58" s="8" t="s">
        <v>1313</v>
      </c>
      <c r="G58" s="64" t="s">
        <v>1102</v>
      </c>
      <c r="H58" s="62" t="s">
        <v>1227</v>
      </c>
      <c r="J58" s="8">
        <v>2</v>
      </c>
    </row>
    <row r="59" spans="1:13">
      <c r="A59" s="145">
        <v>56</v>
      </c>
      <c r="B59" s="8" t="s">
        <v>1319</v>
      </c>
      <c r="C59" s="7" t="s">
        <v>1230</v>
      </c>
      <c r="F59" s="8" t="s">
        <v>1313</v>
      </c>
      <c r="G59" s="64" t="s">
        <v>1102</v>
      </c>
      <c r="H59" s="62" t="s">
        <v>1227</v>
      </c>
      <c r="J59" s="8">
        <v>1</v>
      </c>
    </row>
    <row r="60" spans="1:13">
      <c r="A60" s="146">
        <v>57</v>
      </c>
      <c r="B60" s="8" t="s">
        <v>1320</v>
      </c>
      <c r="C60" s="7" t="s">
        <v>1230</v>
      </c>
      <c r="F60" s="8" t="s">
        <v>1313</v>
      </c>
      <c r="G60" s="64" t="s">
        <v>1102</v>
      </c>
      <c r="H60" s="62" t="s">
        <v>1227</v>
      </c>
      <c r="J60" s="8">
        <v>3</v>
      </c>
    </row>
    <row r="61" spans="1:13">
      <c r="A61" s="145">
        <v>58</v>
      </c>
      <c r="B61" s="8" t="s">
        <v>1321</v>
      </c>
      <c r="C61" s="7" t="s">
        <v>1230</v>
      </c>
      <c r="F61" s="8" t="s">
        <v>1313</v>
      </c>
      <c r="G61" s="64" t="s">
        <v>1102</v>
      </c>
      <c r="H61" s="62" t="s">
        <v>1227</v>
      </c>
      <c r="J61" s="8">
        <v>2</v>
      </c>
    </row>
    <row r="62" spans="1:13">
      <c r="A62" s="145">
        <v>59</v>
      </c>
      <c r="B62" s="8" t="s">
        <v>1322</v>
      </c>
      <c r="C62" s="7" t="s">
        <v>1230</v>
      </c>
      <c r="F62" s="8" t="s">
        <v>1313</v>
      </c>
      <c r="G62" s="64" t="s">
        <v>1102</v>
      </c>
      <c r="H62" s="62" t="s">
        <v>1227</v>
      </c>
      <c r="J62" s="8">
        <v>1</v>
      </c>
    </row>
    <row r="63" spans="1:13">
      <c r="A63" s="145">
        <v>60</v>
      </c>
      <c r="B63" s="8" t="s">
        <v>1323</v>
      </c>
      <c r="C63" s="7" t="s">
        <v>1230</v>
      </c>
      <c r="F63" s="8" t="s">
        <v>1313</v>
      </c>
      <c r="G63" s="64" t="s">
        <v>1102</v>
      </c>
      <c r="H63" s="62" t="s">
        <v>1227</v>
      </c>
    </row>
    <row r="64" spans="1:13">
      <c r="A64" s="146">
        <v>61</v>
      </c>
      <c r="B64" s="8" t="s">
        <v>1324</v>
      </c>
      <c r="C64" s="7" t="s">
        <v>1230</v>
      </c>
      <c r="F64" s="8" t="s">
        <v>1313</v>
      </c>
      <c r="G64" s="64" t="s">
        <v>1102</v>
      </c>
      <c r="H64" s="62" t="s">
        <v>1227</v>
      </c>
    </row>
    <row r="65" spans="1:10">
      <c r="A65" s="145">
        <v>62</v>
      </c>
      <c r="B65" s="8" t="s">
        <v>1325</v>
      </c>
      <c r="C65" s="7" t="s">
        <v>1187</v>
      </c>
      <c r="D65" s="7" t="s">
        <v>1188</v>
      </c>
      <c r="E65" s="8" t="s">
        <v>1326</v>
      </c>
      <c r="F65" s="8" t="s">
        <v>1327</v>
      </c>
      <c r="G65" s="64" t="s">
        <v>1102</v>
      </c>
      <c r="H65" s="62" t="s">
        <v>1227</v>
      </c>
    </row>
    <row r="66" spans="1:10">
      <c r="A66" s="145">
        <v>63</v>
      </c>
      <c r="B66" s="8" t="s">
        <v>1328</v>
      </c>
      <c r="C66" s="7" t="s">
        <v>1189</v>
      </c>
      <c r="D66" s="7" t="s">
        <v>1190</v>
      </c>
      <c r="E66" s="8" t="s">
        <v>1326</v>
      </c>
      <c r="F66" s="8" t="s">
        <v>1327</v>
      </c>
      <c r="G66" s="64" t="s">
        <v>1102</v>
      </c>
      <c r="H66" s="62" t="s">
        <v>1227</v>
      </c>
    </row>
    <row r="67" spans="1:10">
      <c r="A67" s="145">
        <v>64</v>
      </c>
      <c r="B67" s="8" t="s">
        <v>1329</v>
      </c>
      <c r="C67" s="7" t="s">
        <v>1230</v>
      </c>
      <c r="E67" s="8" t="s">
        <v>1330</v>
      </c>
      <c r="F67" s="8" t="s">
        <v>1327</v>
      </c>
      <c r="G67" s="64" t="s">
        <v>1102</v>
      </c>
      <c r="H67" s="62" t="s">
        <v>1227</v>
      </c>
    </row>
    <row r="68" spans="1:10">
      <c r="A68" s="145">
        <v>65</v>
      </c>
      <c r="B68" s="8" t="s">
        <v>1331</v>
      </c>
      <c r="F68" s="8" t="s">
        <v>1332</v>
      </c>
      <c r="G68" s="64" t="s">
        <v>1102</v>
      </c>
      <c r="H68" s="62" t="s">
        <v>1227</v>
      </c>
    </row>
    <row r="69" spans="1:10">
      <c r="A69" s="146">
        <v>66</v>
      </c>
      <c r="B69" s="8" t="s">
        <v>1333</v>
      </c>
      <c r="C69" s="7" t="s">
        <v>1334</v>
      </c>
      <c r="D69" s="7" t="s">
        <v>1191</v>
      </c>
      <c r="F69" s="8" t="s">
        <v>1335</v>
      </c>
      <c r="G69" s="64" t="s">
        <v>1102</v>
      </c>
      <c r="H69" s="62" t="s">
        <v>1227</v>
      </c>
    </row>
    <row r="70" spans="1:10">
      <c r="A70" s="145">
        <v>67</v>
      </c>
      <c r="B70" s="8" t="s">
        <v>1336</v>
      </c>
      <c r="C70" s="7" t="s">
        <v>1114</v>
      </c>
      <c r="D70" s="7" t="s">
        <v>1110</v>
      </c>
      <c r="E70" s="8" t="s">
        <v>1337</v>
      </c>
      <c r="F70" s="8" t="s">
        <v>1338</v>
      </c>
      <c r="G70" s="64" t="s">
        <v>1113</v>
      </c>
      <c r="H70" s="62" t="s">
        <v>1227</v>
      </c>
    </row>
    <row r="71" spans="1:10">
      <c r="A71" s="145">
        <v>68</v>
      </c>
      <c r="B71" s="8" t="s">
        <v>1339</v>
      </c>
      <c r="C71" s="7" t="s">
        <v>1115</v>
      </c>
      <c r="D71" s="7" t="s">
        <v>1116</v>
      </c>
      <c r="E71" s="8" t="s">
        <v>1337</v>
      </c>
      <c r="F71" s="8" t="s">
        <v>1338</v>
      </c>
      <c r="G71" s="64" t="s">
        <v>1113</v>
      </c>
      <c r="H71" s="62" t="s">
        <v>1227</v>
      </c>
    </row>
    <row r="72" spans="1:10">
      <c r="A72" s="145">
        <v>69</v>
      </c>
      <c r="B72" s="8" t="s">
        <v>1340</v>
      </c>
      <c r="C72" s="7" t="s">
        <v>1198</v>
      </c>
      <c r="D72" s="7" t="s">
        <v>1110</v>
      </c>
      <c r="E72" s="8" t="s">
        <v>1341</v>
      </c>
      <c r="F72" s="8" t="s">
        <v>1338</v>
      </c>
      <c r="G72" s="64" t="s">
        <v>1113</v>
      </c>
      <c r="H72" s="62" t="s">
        <v>1227</v>
      </c>
    </row>
    <row r="73" spans="1:10">
      <c r="A73" s="146">
        <v>70</v>
      </c>
      <c r="B73" s="8" t="s">
        <v>1342</v>
      </c>
      <c r="C73" s="7" t="s">
        <v>1230</v>
      </c>
      <c r="F73" s="8" t="s">
        <v>1343</v>
      </c>
      <c r="G73" s="64" t="s">
        <v>1113</v>
      </c>
      <c r="H73" s="62" t="s">
        <v>1227</v>
      </c>
      <c r="J73" s="8">
        <v>1</v>
      </c>
    </row>
    <row r="74" spans="1:10">
      <c r="A74" s="145">
        <v>71</v>
      </c>
      <c r="B74" s="8" t="s">
        <v>1344</v>
      </c>
      <c r="C74" s="7" t="s">
        <v>1230</v>
      </c>
      <c r="F74" s="8" t="s">
        <v>1343</v>
      </c>
      <c r="G74" s="64" t="s">
        <v>1113</v>
      </c>
      <c r="H74" s="62" t="s">
        <v>1227</v>
      </c>
      <c r="J74" s="8">
        <v>1</v>
      </c>
    </row>
    <row r="75" spans="1:10">
      <c r="A75" s="145">
        <v>72</v>
      </c>
      <c r="B75" s="8" t="s">
        <v>1345</v>
      </c>
      <c r="C75" s="7" t="s">
        <v>1230</v>
      </c>
      <c r="F75" s="8" t="s">
        <v>1200</v>
      </c>
      <c r="G75" s="64" t="s">
        <v>1113</v>
      </c>
      <c r="H75" s="62" t="s">
        <v>1227</v>
      </c>
    </row>
    <row r="76" spans="1:10">
      <c r="A76" s="145">
        <v>73</v>
      </c>
      <c r="B76" s="8" t="s">
        <v>1346</v>
      </c>
      <c r="C76" s="7" t="s">
        <v>1230</v>
      </c>
      <c r="F76" s="8" t="s">
        <v>1347</v>
      </c>
      <c r="G76" s="64" t="s">
        <v>1113</v>
      </c>
      <c r="H76" s="62" t="s">
        <v>1227</v>
      </c>
      <c r="J76" s="8">
        <v>1</v>
      </c>
    </row>
    <row r="77" spans="1:10">
      <c r="A77" s="145">
        <v>74</v>
      </c>
      <c r="B77" s="8" t="s">
        <v>1348</v>
      </c>
      <c r="C77" s="7" t="s">
        <v>1230</v>
      </c>
      <c r="F77" s="8" t="s">
        <v>1347</v>
      </c>
      <c r="G77" s="64" t="s">
        <v>1113</v>
      </c>
      <c r="H77" s="62" t="s">
        <v>1227</v>
      </c>
    </row>
    <row r="78" spans="1:10">
      <c r="A78" s="146">
        <v>75</v>
      </c>
      <c r="B78" s="8" t="s">
        <v>1349</v>
      </c>
      <c r="C78" s="7" t="s">
        <v>1230</v>
      </c>
      <c r="F78" s="8" t="s">
        <v>1347</v>
      </c>
      <c r="G78" s="64" t="s">
        <v>1113</v>
      </c>
      <c r="H78" s="62" t="s">
        <v>1227</v>
      </c>
    </row>
    <row r="79" spans="1:10">
      <c r="A79" s="145">
        <v>76</v>
      </c>
      <c r="B79" s="8" t="s">
        <v>1350</v>
      </c>
      <c r="C79" s="7" t="s">
        <v>1230</v>
      </c>
      <c r="F79" s="8" t="s">
        <v>1347</v>
      </c>
      <c r="G79" s="64" t="s">
        <v>1113</v>
      </c>
      <c r="H79" s="62" t="s">
        <v>1227</v>
      </c>
    </row>
    <row r="80" spans="1:10">
      <c r="A80" s="145">
        <v>77</v>
      </c>
      <c r="B80" s="8" t="s">
        <v>1351</v>
      </c>
      <c r="C80" s="7" t="s">
        <v>1112</v>
      </c>
      <c r="D80" s="7" t="s">
        <v>1110</v>
      </c>
      <c r="E80" s="8" t="s">
        <v>1352</v>
      </c>
      <c r="F80" s="8" t="s">
        <v>1353</v>
      </c>
      <c r="G80" s="64" t="s">
        <v>1113</v>
      </c>
      <c r="H80" s="62" t="s">
        <v>1227</v>
      </c>
    </row>
    <row r="81" spans="1:13">
      <c r="A81" s="145">
        <v>78</v>
      </c>
      <c r="B81" s="8" t="s">
        <v>1354</v>
      </c>
      <c r="C81" s="7" t="s">
        <v>1230</v>
      </c>
      <c r="F81" s="8" t="s">
        <v>1355</v>
      </c>
      <c r="G81" s="64" t="s">
        <v>1113</v>
      </c>
      <c r="H81" s="8" t="s">
        <v>1227</v>
      </c>
      <c r="J81" s="8">
        <v>1</v>
      </c>
    </row>
    <row r="82" spans="1:13">
      <c r="A82" s="146">
        <v>79</v>
      </c>
      <c r="B82" s="8" t="s">
        <v>1356</v>
      </c>
      <c r="C82" s="7" t="s">
        <v>1230</v>
      </c>
      <c r="F82" s="8" t="s">
        <v>1355</v>
      </c>
      <c r="G82" s="64" t="s">
        <v>1113</v>
      </c>
      <c r="H82" s="8" t="s">
        <v>1227</v>
      </c>
      <c r="J82" s="8">
        <v>1</v>
      </c>
    </row>
    <row r="83" spans="1:13">
      <c r="A83" s="145">
        <v>80</v>
      </c>
      <c r="B83" s="8" t="s">
        <v>1357</v>
      </c>
      <c r="C83" s="7" t="s">
        <v>1230</v>
      </c>
      <c r="F83" s="8" t="s">
        <v>1355</v>
      </c>
      <c r="G83" s="64" t="s">
        <v>1113</v>
      </c>
      <c r="H83" s="8" t="s">
        <v>1227</v>
      </c>
      <c r="J83" s="8">
        <v>1</v>
      </c>
    </row>
    <row r="84" spans="1:13">
      <c r="A84" s="145">
        <v>81</v>
      </c>
      <c r="B84" s="8" t="s">
        <v>1358</v>
      </c>
      <c r="C84" s="7" t="s">
        <v>1230</v>
      </c>
      <c r="F84" s="8" t="s">
        <v>1359</v>
      </c>
      <c r="G84" s="64" t="s">
        <v>1113</v>
      </c>
      <c r="H84" s="8" t="s">
        <v>1227</v>
      </c>
    </row>
    <row r="85" spans="1:13">
      <c r="A85" s="145">
        <v>82</v>
      </c>
      <c r="B85" s="8" t="s">
        <v>1360</v>
      </c>
      <c r="C85" s="7" t="s">
        <v>1230</v>
      </c>
      <c r="F85" s="8" t="s">
        <v>1361</v>
      </c>
      <c r="G85" s="64" t="s">
        <v>1113</v>
      </c>
      <c r="H85" s="8" t="s">
        <v>1227</v>
      </c>
      <c r="M85" s="8">
        <v>1</v>
      </c>
    </row>
    <row r="86" spans="1:13">
      <c r="A86" s="145">
        <v>83</v>
      </c>
      <c r="B86" s="8" t="s">
        <v>1360</v>
      </c>
      <c r="C86" s="7" t="s">
        <v>1199</v>
      </c>
      <c r="D86" s="7" t="s">
        <v>1117</v>
      </c>
      <c r="F86" s="8" t="s">
        <v>1361</v>
      </c>
      <c r="G86" s="64" t="s">
        <v>1113</v>
      </c>
      <c r="H86" s="8" t="s">
        <v>1227</v>
      </c>
    </row>
    <row r="87" spans="1:13">
      <c r="A87" s="146">
        <v>84</v>
      </c>
      <c r="B87" s="8" t="s">
        <v>1362</v>
      </c>
      <c r="C87" s="7" t="s">
        <v>1230</v>
      </c>
      <c r="G87" s="64" t="s">
        <v>1113</v>
      </c>
      <c r="H87" s="8" t="s">
        <v>1227</v>
      </c>
      <c r="J87" s="8">
        <v>1</v>
      </c>
    </row>
    <row r="88" spans="1:13">
      <c r="A88" s="145">
        <v>85</v>
      </c>
      <c r="B88" s="8" t="s">
        <v>1363</v>
      </c>
      <c r="C88" s="7" t="s">
        <v>1230</v>
      </c>
      <c r="G88" s="64" t="s">
        <v>1113</v>
      </c>
      <c r="H88" s="8" t="s">
        <v>1227</v>
      </c>
    </row>
    <row r="89" spans="1:13">
      <c r="A89" s="145">
        <v>86</v>
      </c>
      <c r="B89" s="8" t="s">
        <v>1364</v>
      </c>
      <c r="C89" s="7" t="s">
        <v>1230</v>
      </c>
      <c r="G89" s="64" t="s">
        <v>1113</v>
      </c>
      <c r="H89" s="8" t="s">
        <v>1227</v>
      </c>
    </row>
    <row r="90" spans="1:13">
      <c r="A90" s="145">
        <v>87</v>
      </c>
      <c r="B90" s="8" t="s">
        <v>1365</v>
      </c>
      <c r="C90" s="7" t="s">
        <v>1230</v>
      </c>
      <c r="F90" s="8" t="s">
        <v>1366</v>
      </c>
      <c r="G90" s="64" t="s">
        <v>519</v>
      </c>
      <c r="H90" s="62" t="s">
        <v>1227</v>
      </c>
      <c r="J90" s="8">
        <v>1</v>
      </c>
    </row>
    <row r="91" spans="1:13">
      <c r="A91" s="146">
        <v>88</v>
      </c>
      <c r="B91" s="8" t="s">
        <v>1367</v>
      </c>
      <c r="C91" s="7" t="s">
        <v>1230</v>
      </c>
      <c r="F91" s="8" t="s">
        <v>1366</v>
      </c>
      <c r="G91" s="64" t="s">
        <v>519</v>
      </c>
      <c r="H91" s="62" t="s">
        <v>1227</v>
      </c>
      <c r="J91" s="8">
        <v>1</v>
      </c>
    </row>
    <row r="92" spans="1:13">
      <c r="A92" s="145">
        <v>89</v>
      </c>
      <c r="B92" s="8" t="s">
        <v>1368</v>
      </c>
      <c r="C92" s="7" t="s">
        <v>1230</v>
      </c>
      <c r="F92" s="8" t="s">
        <v>1366</v>
      </c>
      <c r="G92" s="64" t="s">
        <v>519</v>
      </c>
      <c r="H92" s="62" t="s">
        <v>1227</v>
      </c>
      <c r="J92" s="8">
        <v>1</v>
      </c>
    </row>
    <row r="93" spans="1:13">
      <c r="A93" s="145">
        <v>90</v>
      </c>
      <c r="B93" s="8" t="s">
        <v>1369</v>
      </c>
      <c r="C93" s="7" t="s">
        <v>1230</v>
      </c>
      <c r="F93" s="8" t="s">
        <v>1124</v>
      </c>
      <c r="G93" s="64" t="s">
        <v>519</v>
      </c>
      <c r="H93" s="62" t="s">
        <v>1227</v>
      </c>
      <c r="M93" s="8">
        <v>2</v>
      </c>
    </row>
    <row r="94" spans="1:13">
      <c r="A94" s="145">
        <v>91</v>
      </c>
      <c r="B94" s="8" t="s">
        <v>1370</v>
      </c>
      <c r="C94" s="7" t="s">
        <v>1230</v>
      </c>
      <c r="F94" s="8" t="s">
        <v>1124</v>
      </c>
      <c r="G94" s="64" t="s">
        <v>519</v>
      </c>
      <c r="H94" s="62" t="s">
        <v>1227</v>
      </c>
      <c r="J94" s="8">
        <v>1</v>
      </c>
      <c r="M94" s="8">
        <v>1</v>
      </c>
    </row>
    <row r="95" spans="1:13">
      <c r="A95" s="145">
        <v>92</v>
      </c>
      <c r="B95" s="8" t="s">
        <v>1371</v>
      </c>
      <c r="C95" s="7" t="s">
        <v>1230</v>
      </c>
      <c r="F95" s="8" t="s">
        <v>1124</v>
      </c>
      <c r="G95" s="64" t="s">
        <v>519</v>
      </c>
      <c r="H95" s="62" t="s">
        <v>1227</v>
      </c>
      <c r="J95" s="8">
        <v>3</v>
      </c>
    </row>
    <row r="96" spans="1:13">
      <c r="A96" s="146">
        <v>93</v>
      </c>
      <c r="B96" s="8" t="s">
        <v>1372</v>
      </c>
      <c r="C96" s="7" t="s">
        <v>1230</v>
      </c>
      <c r="F96" s="8" t="s">
        <v>1124</v>
      </c>
      <c r="G96" s="64" t="s">
        <v>519</v>
      </c>
      <c r="H96" s="62" t="s">
        <v>1227</v>
      </c>
      <c r="J96" s="8">
        <v>1</v>
      </c>
    </row>
    <row r="97" spans="1:13">
      <c r="A97" s="145">
        <v>94</v>
      </c>
      <c r="B97" s="8" t="s">
        <v>1373</v>
      </c>
      <c r="C97" s="7" t="s">
        <v>1230</v>
      </c>
      <c r="F97" s="8" t="s">
        <v>1124</v>
      </c>
      <c r="G97" s="64" t="s">
        <v>519</v>
      </c>
      <c r="H97" s="62" t="s">
        <v>1227</v>
      </c>
      <c r="J97" s="8">
        <v>1</v>
      </c>
    </row>
    <row r="98" spans="1:13">
      <c r="A98" s="145">
        <v>95</v>
      </c>
      <c r="B98" s="8" t="s">
        <v>1374</v>
      </c>
      <c r="C98" s="7" t="s">
        <v>1375</v>
      </c>
      <c r="D98" s="7" t="s">
        <v>1110</v>
      </c>
      <c r="F98" s="8" t="s">
        <v>1124</v>
      </c>
      <c r="G98" s="64" t="s">
        <v>519</v>
      </c>
      <c r="H98" s="62" t="s">
        <v>1227</v>
      </c>
      <c r="J98" s="8">
        <v>1</v>
      </c>
    </row>
    <row r="99" spans="1:13">
      <c r="A99" s="145">
        <v>96</v>
      </c>
      <c r="B99" s="8" t="s">
        <v>1376</v>
      </c>
      <c r="C99" s="7" t="s">
        <v>1208</v>
      </c>
      <c r="D99" s="7" t="s">
        <v>1110</v>
      </c>
      <c r="E99" s="8" t="s">
        <v>1377</v>
      </c>
      <c r="F99" s="8" t="s">
        <v>1378</v>
      </c>
      <c r="G99" s="64" t="s">
        <v>519</v>
      </c>
      <c r="H99" s="62" t="s">
        <v>1227</v>
      </c>
    </row>
    <row r="100" spans="1:13">
      <c r="A100" s="146">
        <v>97</v>
      </c>
      <c r="B100" s="8" t="s">
        <v>1379</v>
      </c>
      <c r="C100" s="7" t="s">
        <v>1208</v>
      </c>
      <c r="D100" s="7" t="s">
        <v>1110</v>
      </c>
      <c r="E100" s="8" t="s">
        <v>1377</v>
      </c>
      <c r="F100" s="8" t="s">
        <v>1378</v>
      </c>
      <c r="G100" s="64" t="s">
        <v>519</v>
      </c>
      <c r="H100" s="62" t="s">
        <v>1227</v>
      </c>
      <c r="J100" s="8">
        <v>1</v>
      </c>
    </row>
    <row r="101" spans="1:13">
      <c r="A101" s="145">
        <v>98</v>
      </c>
      <c r="B101" s="8" t="s">
        <v>1380</v>
      </c>
      <c r="C101" s="7" t="s">
        <v>1230</v>
      </c>
      <c r="E101" s="8" t="s">
        <v>1381</v>
      </c>
      <c r="F101" s="8" t="s">
        <v>1382</v>
      </c>
      <c r="G101" s="64" t="s">
        <v>519</v>
      </c>
      <c r="H101" s="62" t="s">
        <v>1227</v>
      </c>
      <c r="J101" s="8">
        <v>1</v>
      </c>
    </row>
    <row r="102" spans="1:13">
      <c r="A102" s="145">
        <v>99</v>
      </c>
      <c r="B102" s="8" t="s">
        <v>1383</v>
      </c>
      <c r="C102" s="7" t="s">
        <v>1230</v>
      </c>
      <c r="E102" s="8" t="s">
        <v>1381</v>
      </c>
      <c r="F102" s="8" t="s">
        <v>1382</v>
      </c>
      <c r="G102" s="64" t="s">
        <v>519</v>
      </c>
      <c r="H102" s="62" t="s">
        <v>1227</v>
      </c>
      <c r="M102" s="8">
        <v>1</v>
      </c>
    </row>
    <row r="103" spans="1:13">
      <c r="A103" s="145">
        <v>100</v>
      </c>
      <c r="B103" s="8" t="s">
        <v>1384</v>
      </c>
      <c r="C103" s="7" t="s">
        <v>1230</v>
      </c>
      <c r="E103" s="8" t="s">
        <v>1381</v>
      </c>
      <c r="F103" s="8" t="s">
        <v>1382</v>
      </c>
      <c r="G103" s="64" t="s">
        <v>519</v>
      </c>
      <c r="H103" s="62" t="s">
        <v>1227</v>
      </c>
      <c r="M103" s="8">
        <v>1</v>
      </c>
    </row>
    <row r="104" spans="1:13">
      <c r="A104" s="145">
        <v>101</v>
      </c>
      <c r="B104" s="8" t="s">
        <v>1385</v>
      </c>
      <c r="C104" s="7" t="s">
        <v>1230</v>
      </c>
      <c r="E104" s="8" t="s">
        <v>1386</v>
      </c>
      <c r="F104" s="8" t="s">
        <v>1382</v>
      </c>
      <c r="G104" s="64" t="s">
        <v>519</v>
      </c>
      <c r="H104" s="62" t="s">
        <v>1227</v>
      </c>
      <c r="J104" s="8">
        <v>2</v>
      </c>
    </row>
    <row r="105" spans="1:13">
      <c r="A105" s="146">
        <v>102</v>
      </c>
      <c r="B105" s="8" t="s">
        <v>1387</v>
      </c>
      <c r="C105" s="7" t="s">
        <v>1205</v>
      </c>
      <c r="D105" s="7" t="s">
        <v>1206</v>
      </c>
      <c r="E105" s="8" t="s">
        <v>1388</v>
      </c>
      <c r="F105" s="8" t="s">
        <v>1382</v>
      </c>
      <c r="G105" s="64" t="s">
        <v>519</v>
      </c>
      <c r="H105" s="62" t="s">
        <v>1227</v>
      </c>
    </row>
    <row r="106" spans="1:13">
      <c r="A106" s="145">
        <v>103</v>
      </c>
      <c r="B106" s="8" t="s">
        <v>1118</v>
      </c>
      <c r="C106" s="7" t="s">
        <v>1119</v>
      </c>
      <c r="D106" s="7" t="s">
        <v>1120</v>
      </c>
      <c r="E106" s="8" t="s">
        <v>1389</v>
      </c>
      <c r="F106" s="8" t="s">
        <v>1390</v>
      </c>
      <c r="G106" s="64" t="s">
        <v>519</v>
      </c>
      <c r="H106" s="62" t="s">
        <v>1227</v>
      </c>
    </row>
    <row r="107" spans="1:13">
      <c r="A107" s="145">
        <v>104</v>
      </c>
      <c r="B107" s="8" t="s">
        <v>1391</v>
      </c>
      <c r="C107" s="7" t="s">
        <v>1201</v>
      </c>
      <c r="D107" s="7" t="s">
        <v>1202</v>
      </c>
      <c r="E107" s="8" t="s">
        <v>1389</v>
      </c>
      <c r="F107" s="8" t="s">
        <v>1390</v>
      </c>
      <c r="G107" s="64" t="s">
        <v>519</v>
      </c>
      <c r="H107" s="62" t="s">
        <v>1227</v>
      </c>
    </row>
    <row r="108" spans="1:13">
      <c r="A108" s="145">
        <v>105</v>
      </c>
      <c r="B108" s="8" t="s">
        <v>1121</v>
      </c>
      <c r="C108" s="7" t="s">
        <v>1122</v>
      </c>
      <c r="D108" s="7" t="s">
        <v>1123</v>
      </c>
      <c r="E108" s="8" t="s">
        <v>1389</v>
      </c>
      <c r="F108" s="8" t="s">
        <v>1390</v>
      </c>
      <c r="G108" s="64" t="s">
        <v>519</v>
      </c>
      <c r="H108" s="62" t="s">
        <v>1227</v>
      </c>
    </row>
    <row r="109" spans="1:13">
      <c r="A109" s="146">
        <v>106</v>
      </c>
      <c r="B109" s="8" t="s">
        <v>1392</v>
      </c>
      <c r="C109" s="7" t="s">
        <v>1230</v>
      </c>
      <c r="F109" s="8" t="s">
        <v>1128</v>
      </c>
      <c r="G109" s="64" t="s">
        <v>519</v>
      </c>
      <c r="H109" s="62" t="s">
        <v>1227</v>
      </c>
      <c r="J109" s="8">
        <v>1</v>
      </c>
    </row>
    <row r="110" spans="1:13">
      <c r="A110" s="145">
        <v>107</v>
      </c>
      <c r="B110" s="8" t="s">
        <v>1393</v>
      </c>
      <c r="C110" s="7" t="s">
        <v>1230</v>
      </c>
      <c r="F110" s="8" t="s">
        <v>1128</v>
      </c>
      <c r="G110" s="64" t="s">
        <v>519</v>
      </c>
      <c r="H110" s="62" t="s">
        <v>1227</v>
      </c>
      <c r="J110" s="8">
        <v>1</v>
      </c>
    </row>
    <row r="111" spans="1:13">
      <c r="A111" s="145">
        <v>108</v>
      </c>
      <c r="B111" s="8" t="s">
        <v>1394</v>
      </c>
      <c r="C111" s="7" t="s">
        <v>1230</v>
      </c>
      <c r="F111" s="8" t="s">
        <v>1128</v>
      </c>
      <c r="G111" s="64" t="s">
        <v>519</v>
      </c>
      <c r="H111" s="62" t="s">
        <v>1227</v>
      </c>
      <c r="J111" s="8">
        <v>1</v>
      </c>
    </row>
    <row r="112" spans="1:13">
      <c r="A112" s="145">
        <v>109</v>
      </c>
      <c r="B112" s="8" t="s">
        <v>1395</v>
      </c>
      <c r="C112" s="7" t="s">
        <v>1230</v>
      </c>
      <c r="F112" s="8" t="s">
        <v>1128</v>
      </c>
      <c r="G112" s="64" t="s">
        <v>519</v>
      </c>
      <c r="H112" s="62" t="s">
        <v>1227</v>
      </c>
      <c r="J112" s="8">
        <v>1</v>
      </c>
    </row>
    <row r="113" spans="1:13">
      <c r="A113" s="145">
        <v>110</v>
      </c>
      <c r="B113" s="8" t="s">
        <v>1396</v>
      </c>
      <c r="C113" s="7" t="s">
        <v>1230</v>
      </c>
      <c r="F113" s="8" t="s">
        <v>1128</v>
      </c>
      <c r="G113" s="64" t="s">
        <v>519</v>
      </c>
      <c r="H113" s="62" t="s">
        <v>1227</v>
      </c>
      <c r="J113" s="8">
        <v>1</v>
      </c>
    </row>
    <row r="114" spans="1:13">
      <c r="A114" s="146">
        <v>111</v>
      </c>
      <c r="B114" s="8" t="s">
        <v>1397</v>
      </c>
      <c r="C114" s="7" t="s">
        <v>1230</v>
      </c>
      <c r="F114" s="8" t="s">
        <v>1128</v>
      </c>
      <c r="G114" s="64" t="s">
        <v>519</v>
      </c>
      <c r="H114" s="62" t="s">
        <v>1227</v>
      </c>
      <c r="J114" s="8">
        <v>1</v>
      </c>
    </row>
    <row r="115" spans="1:13">
      <c r="A115" s="145">
        <v>112</v>
      </c>
      <c r="B115" s="8" t="s">
        <v>1398</v>
      </c>
      <c r="C115" s="7" t="s">
        <v>1203</v>
      </c>
      <c r="D115" s="7" t="s">
        <v>1204</v>
      </c>
      <c r="E115" s="8" t="s">
        <v>1399</v>
      </c>
      <c r="F115" s="8" t="s">
        <v>1128</v>
      </c>
      <c r="G115" s="64" t="s">
        <v>519</v>
      </c>
      <c r="H115" s="62" t="s">
        <v>1227</v>
      </c>
    </row>
    <row r="116" spans="1:13">
      <c r="A116" s="145">
        <v>113</v>
      </c>
      <c r="B116" s="8" t="s">
        <v>1400</v>
      </c>
      <c r="C116" s="7" t="s">
        <v>1230</v>
      </c>
      <c r="E116" s="8" t="s">
        <v>1401</v>
      </c>
      <c r="F116" s="8" t="s">
        <v>1128</v>
      </c>
      <c r="G116" s="64" t="s">
        <v>519</v>
      </c>
      <c r="H116" s="62" t="s">
        <v>1227</v>
      </c>
      <c r="M116" s="8">
        <v>1</v>
      </c>
    </row>
    <row r="117" spans="1:13">
      <c r="A117" s="145">
        <v>114</v>
      </c>
      <c r="B117" s="8" t="s">
        <v>1402</v>
      </c>
      <c r="C117" s="7" t="s">
        <v>1230</v>
      </c>
      <c r="F117" s="8" t="s">
        <v>1125</v>
      </c>
      <c r="G117" s="64" t="s">
        <v>519</v>
      </c>
      <c r="H117" s="62" t="s">
        <v>1227</v>
      </c>
      <c r="J117" s="8">
        <v>1</v>
      </c>
    </row>
    <row r="118" spans="1:13">
      <c r="A118" s="146">
        <v>115</v>
      </c>
      <c r="B118" s="8" t="s">
        <v>1403</v>
      </c>
      <c r="C118" s="7" t="s">
        <v>1230</v>
      </c>
      <c r="F118" s="8" t="s">
        <v>1125</v>
      </c>
      <c r="G118" s="64" t="s">
        <v>519</v>
      </c>
      <c r="H118" s="62" t="s">
        <v>1227</v>
      </c>
      <c r="J118" s="8">
        <v>1</v>
      </c>
    </row>
    <row r="119" spans="1:13">
      <c r="A119" s="145">
        <v>116</v>
      </c>
      <c r="B119" s="8" t="s">
        <v>1404</v>
      </c>
      <c r="C119" s="7" t="s">
        <v>1230</v>
      </c>
      <c r="F119" s="8" t="s">
        <v>1125</v>
      </c>
      <c r="G119" s="64" t="s">
        <v>519</v>
      </c>
      <c r="H119" s="62" t="s">
        <v>1227</v>
      </c>
      <c r="M119" s="8">
        <v>1</v>
      </c>
    </row>
    <row r="120" spans="1:13">
      <c r="A120" s="145">
        <v>117</v>
      </c>
      <c r="B120" s="8" t="s">
        <v>1405</v>
      </c>
      <c r="C120" s="7" t="s">
        <v>1230</v>
      </c>
      <c r="F120" s="8" t="s">
        <v>1406</v>
      </c>
      <c r="G120" s="64" t="s">
        <v>519</v>
      </c>
      <c r="H120" s="62" t="s">
        <v>1227</v>
      </c>
      <c r="M120" s="8">
        <v>3</v>
      </c>
    </row>
    <row r="121" spans="1:13">
      <c r="A121" s="145">
        <v>118</v>
      </c>
      <c r="B121" s="8" t="s">
        <v>1407</v>
      </c>
      <c r="C121" s="7" t="s">
        <v>1230</v>
      </c>
      <c r="F121" s="8" t="s">
        <v>1406</v>
      </c>
      <c r="G121" s="64" t="s">
        <v>519</v>
      </c>
      <c r="H121" s="62" t="s">
        <v>1227</v>
      </c>
      <c r="M121" s="8">
        <v>2</v>
      </c>
    </row>
    <row r="122" spans="1:13">
      <c r="A122" s="145">
        <v>119</v>
      </c>
      <c r="B122" s="8" t="s">
        <v>1408</v>
      </c>
      <c r="C122" s="7" t="s">
        <v>1230</v>
      </c>
      <c r="F122" s="8" t="s">
        <v>1409</v>
      </c>
      <c r="G122" s="64" t="s">
        <v>519</v>
      </c>
      <c r="H122" s="62" t="s">
        <v>1227</v>
      </c>
    </row>
    <row r="123" spans="1:13">
      <c r="A123" s="146">
        <v>120</v>
      </c>
      <c r="B123" s="8" t="s">
        <v>1410</v>
      </c>
      <c r="C123" s="7" t="s">
        <v>1230</v>
      </c>
      <c r="F123" s="8" t="s">
        <v>1409</v>
      </c>
      <c r="G123" s="64" t="s">
        <v>519</v>
      </c>
      <c r="H123" s="62" t="s">
        <v>1227</v>
      </c>
    </row>
    <row r="124" spans="1:13">
      <c r="A124" s="145">
        <v>121</v>
      </c>
      <c r="B124" s="8" t="s">
        <v>1411</v>
      </c>
      <c r="C124" s="7" t="s">
        <v>1230</v>
      </c>
      <c r="F124" s="8" t="s">
        <v>1409</v>
      </c>
      <c r="G124" s="64" t="s">
        <v>519</v>
      </c>
      <c r="H124" s="62" t="s">
        <v>1227</v>
      </c>
    </row>
    <row r="125" spans="1:13">
      <c r="A125" s="145">
        <v>122</v>
      </c>
      <c r="B125" s="8" t="s">
        <v>1412</v>
      </c>
      <c r="C125" s="7" t="s">
        <v>1230</v>
      </c>
      <c r="F125" s="8" t="s">
        <v>1409</v>
      </c>
      <c r="G125" s="64" t="s">
        <v>519</v>
      </c>
      <c r="H125" s="62" t="s">
        <v>1227</v>
      </c>
    </row>
    <row r="126" spans="1:13">
      <c r="A126" s="145">
        <v>123</v>
      </c>
      <c r="B126" s="8" t="s">
        <v>1413</v>
      </c>
      <c r="C126" s="7" t="s">
        <v>1230</v>
      </c>
      <c r="F126" s="8" t="s">
        <v>1409</v>
      </c>
      <c r="G126" s="64" t="s">
        <v>519</v>
      </c>
      <c r="H126" s="62" t="s">
        <v>1227</v>
      </c>
    </row>
    <row r="127" spans="1:13">
      <c r="A127" s="146">
        <v>124</v>
      </c>
      <c r="B127" s="8" t="s">
        <v>1414</v>
      </c>
      <c r="C127" s="7" t="s">
        <v>1230</v>
      </c>
      <c r="F127" s="8" t="s">
        <v>1415</v>
      </c>
      <c r="G127" s="64" t="s">
        <v>519</v>
      </c>
      <c r="H127" s="62" t="s">
        <v>1227</v>
      </c>
      <c r="J127" s="8">
        <v>3</v>
      </c>
    </row>
    <row r="128" spans="1:13">
      <c r="A128" s="145">
        <v>125</v>
      </c>
      <c r="B128" s="8" t="s">
        <v>1416</v>
      </c>
      <c r="C128" s="7" t="s">
        <v>1230</v>
      </c>
      <c r="F128" s="8" t="s">
        <v>1207</v>
      </c>
      <c r="G128" s="64" t="s">
        <v>519</v>
      </c>
      <c r="H128" s="62" t="s">
        <v>1227</v>
      </c>
      <c r="J128" s="8">
        <v>2</v>
      </c>
    </row>
    <row r="129" spans="1:13">
      <c r="A129" s="145">
        <v>126</v>
      </c>
      <c r="B129" s="64" t="s">
        <v>1417</v>
      </c>
      <c r="C129" s="7" t="s">
        <v>1418</v>
      </c>
      <c r="D129" s="7" t="s">
        <v>1110</v>
      </c>
      <c r="F129" s="8" t="s">
        <v>1419</v>
      </c>
      <c r="G129" s="64" t="s">
        <v>519</v>
      </c>
      <c r="H129" s="62" t="s">
        <v>1227</v>
      </c>
      <c r="J129" s="8">
        <v>1</v>
      </c>
    </row>
    <row r="130" spans="1:13">
      <c r="A130" s="145">
        <v>127</v>
      </c>
      <c r="B130" s="8" t="s">
        <v>1420</v>
      </c>
      <c r="C130" s="7" t="s">
        <v>1230</v>
      </c>
      <c r="F130" s="8" t="s">
        <v>1421</v>
      </c>
      <c r="G130" s="64" t="s">
        <v>519</v>
      </c>
      <c r="H130" s="62" t="s">
        <v>1227</v>
      </c>
      <c r="J130" s="8">
        <v>1</v>
      </c>
    </row>
    <row r="131" spans="1:13">
      <c r="A131" s="145">
        <v>128</v>
      </c>
      <c r="B131" s="8" t="s">
        <v>1422</v>
      </c>
      <c r="C131" s="7" t="s">
        <v>1230</v>
      </c>
      <c r="F131" s="8" t="s">
        <v>1421</v>
      </c>
      <c r="G131" s="64" t="s">
        <v>519</v>
      </c>
      <c r="H131" s="62" t="s">
        <v>1227</v>
      </c>
      <c r="J131" s="8">
        <v>1</v>
      </c>
    </row>
    <row r="132" spans="1:13">
      <c r="A132" s="146">
        <v>129</v>
      </c>
      <c r="B132" s="8" t="s">
        <v>1423</v>
      </c>
      <c r="C132" s="7" t="s">
        <v>1230</v>
      </c>
      <c r="F132" s="8" t="s">
        <v>1421</v>
      </c>
      <c r="G132" s="64" t="s">
        <v>519</v>
      </c>
      <c r="H132" s="62" t="s">
        <v>1227</v>
      </c>
      <c r="M132" s="8">
        <v>1</v>
      </c>
    </row>
    <row r="133" spans="1:13">
      <c r="A133" s="145">
        <v>130</v>
      </c>
      <c r="B133" s="8" t="s">
        <v>1424</v>
      </c>
      <c r="C133" s="7" t="s">
        <v>1230</v>
      </c>
      <c r="F133" s="8" t="s">
        <v>1421</v>
      </c>
      <c r="G133" s="64" t="s">
        <v>519</v>
      </c>
      <c r="H133" s="62" t="s">
        <v>1227</v>
      </c>
      <c r="J133" s="8">
        <v>1</v>
      </c>
    </row>
    <row r="134" spans="1:13">
      <c r="A134" s="145">
        <v>131</v>
      </c>
      <c r="B134" s="8" t="s">
        <v>1425</v>
      </c>
      <c r="C134" s="7" t="s">
        <v>1230</v>
      </c>
      <c r="F134" s="8" t="s">
        <v>1421</v>
      </c>
      <c r="G134" s="64" t="s">
        <v>519</v>
      </c>
      <c r="H134" s="62" t="s">
        <v>1227</v>
      </c>
      <c r="M134" s="8">
        <v>1</v>
      </c>
    </row>
    <row r="135" spans="1:13">
      <c r="A135" s="145">
        <v>132</v>
      </c>
      <c r="B135" s="8" t="s">
        <v>1426</v>
      </c>
      <c r="C135" s="7" t="s">
        <v>1230</v>
      </c>
      <c r="F135" s="8" t="s">
        <v>1421</v>
      </c>
      <c r="G135" s="64" t="s">
        <v>519</v>
      </c>
      <c r="H135" s="62" t="s">
        <v>1227</v>
      </c>
      <c r="J135" s="8">
        <v>1</v>
      </c>
    </row>
    <row r="136" spans="1:13">
      <c r="A136" s="146">
        <v>133</v>
      </c>
      <c r="B136" s="8" t="s">
        <v>1427</v>
      </c>
      <c r="C136" s="7" t="s">
        <v>1230</v>
      </c>
      <c r="F136" s="8" t="s">
        <v>1421</v>
      </c>
      <c r="G136" s="64" t="s">
        <v>519</v>
      </c>
      <c r="H136" s="62" t="s">
        <v>1227</v>
      </c>
      <c r="M136" s="8">
        <v>1</v>
      </c>
    </row>
    <row r="137" spans="1:13">
      <c r="A137" s="145">
        <v>134</v>
      </c>
      <c r="B137" s="8" t="s">
        <v>1428</v>
      </c>
      <c r="C137" s="7" t="s">
        <v>1230</v>
      </c>
      <c r="F137" s="8" t="s">
        <v>1421</v>
      </c>
      <c r="G137" s="64" t="s">
        <v>519</v>
      </c>
      <c r="H137" s="62" t="s">
        <v>1227</v>
      </c>
      <c r="J137" s="8">
        <v>1</v>
      </c>
    </row>
    <row r="138" spans="1:13">
      <c r="A138" s="145">
        <v>135</v>
      </c>
      <c r="B138" s="8" t="s">
        <v>1429</v>
      </c>
      <c r="C138" s="7" t="s">
        <v>1230</v>
      </c>
      <c r="F138" s="8" t="s">
        <v>1421</v>
      </c>
      <c r="G138" s="64" t="s">
        <v>519</v>
      </c>
      <c r="H138" s="62" t="s">
        <v>1227</v>
      </c>
      <c r="M138" s="8">
        <v>1</v>
      </c>
    </row>
    <row r="139" spans="1:13">
      <c r="A139" s="145">
        <v>136</v>
      </c>
      <c r="B139" s="8" t="s">
        <v>1126</v>
      </c>
      <c r="C139" s="7" t="s">
        <v>1230</v>
      </c>
      <c r="F139" s="8" t="s">
        <v>1127</v>
      </c>
      <c r="G139" s="64" t="s">
        <v>519</v>
      </c>
      <c r="H139" s="62" t="s">
        <v>1227</v>
      </c>
    </row>
    <row r="140" spans="1:13">
      <c r="A140" s="145">
        <v>137</v>
      </c>
      <c r="B140" s="8" t="s">
        <v>1430</v>
      </c>
      <c r="C140" s="7" t="s">
        <v>1230</v>
      </c>
      <c r="G140" s="64" t="s">
        <v>519</v>
      </c>
      <c r="H140" s="62" t="s">
        <v>1227</v>
      </c>
    </row>
    <row r="141" spans="1:13">
      <c r="A141" s="146">
        <v>138</v>
      </c>
      <c r="B141" s="8" t="s">
        <v>1431</v>
      </c>
      <c r="C141" s="7" t="s">
        <v>1230</v>
      </c>
      <c r="G141" s="64" t="s">
        <v>519</v>
      </c>
      <c r="H141" s="62" t="s">
        <v>1227</v>
      </c>
    </row>
    <row r="142" spans="1:13">
      <c r="A142" s="145">
        <v>139</v>
      </c>
      <c r="B142" s="8" t="s">
        <v>1432</v>
      </c>
      <c r="C142" s="7" t="s">
        <v>1230</v>
      </c>
      <c r="G142" s="64" t="s">
        <v>519</v>
      </c>
      <c r="H142" s="62" t="s">
        <v>1227</v>
      </c>
    </row>
    <row r="143" spans="1:13">
      <c r="A143" s="145">
        <v>140</v>
      </c>
      <c r="B143" s="8" t="s">
        <v>1433</v>
      </c>
      <c r="C143" s="7" t="s">
        <v>1230</v>
      </c>
      <c r="G143" s="64" t="s">
        <v>519</v>
      </c>
      <c r="H143" s="62" t="s">
        <v>1227</v>
      </c>
    </row>
    <row r="144" spans="1:13">
      <c r="A144" s="145">
        <v>141</v>
      </c>
      <c r="B144" s="8" t="s">
        <v>1434</v>
      </c>
      <c r="C144" s="7" t="s">
        <v>1230</v>
      </c>
      <c r="G144" s="64" t="s">
        <v>519</v>
      </c>
      <c r="H144" s="62" t="s">
        <v>1227</v>
      </c>
    </row>
    <row r="145" spans="1:13">
      <c r="A145" s="146">
        <v>142</v>
      </c>
      <c r="B145" s="8" t="s">
        <v>1435</v>
      </c>
      <c r="C145" s="7" t="s">
        <v>1230</v>
      </c>
      <c r="G145" s="64" t="s">
        <v>519</v>
      </c>
      <c r="H145" s="62" t="s">
        <v>1227</v>
      </c>
    </row>
    <row r="146" spans="1:13">
      <c r="A146" s="145">
        <v>143</v>
      </c>
      <c r="B146" s="8" t="s">
        <v>1436</v>
      </c>
      <c r="C146" s="7" t="s">
        <v>1230</v>
      </c>
      <c r="F146" s="8" t="s">
        <v>1437</v>
      </c>
      <c r="G146" s="64" t="s">
        <v>504</v>
      </c>
      <c r="H146" s="62" t="s">
        <v>1227</v>
      </c>
      <c r="J146" s="8">
        <v>1</v>
      </c>
    </row>
    <row r="147" spans="1:13">
      <c r="A147" s="145">
        <v>144</v>
      </c>
      <c r="B147" s="8" t="s">
        <v>1438</v>
      </c>
      <c r="C147" s="7" t="s">
        <v>1230</v>
      </c>
      <c r="F147" s="8" t="s">
        <v>1439</v>
      </c>
      <c r="G147" s="64" t="s">
        <v>504</v>
      </c>
      <c r="H147" s="62" t="s">
        <v>1227</v>
      </c>
      <c r="J147" s="8">
        <v>1</v>
      </c>
    </row>
    <row r="148" spans="1:13">
      <c r="A148" s="145">
        <v>145</v>
      </c>
      <c r="B148" s="8" t="s">
        <v>1440</v>
      </c>
      <c r="C148" s="7" t="s">
        <v>1133</v>
      </c>
      <c r="D148" s="7" t="s">
        <v>1110</v>
      </c>
      <c r="F148" s="8" t="s">
        <v>1441</v>
      </c>
      <c r="G148" s="64" t="s">
        <v>504</v>
      </c>
      <c r="H148" s="62" t="s">
        <v>1227</v>
      </c>
    </row>
    <row r="149" spans="1:13">
      <c r="A149" s="145">
        <v>146</v>
      </c>
      <c r="B149" s="8" t="s">
        <v>1442</v>
      </c>
      <c r="C149" s="7" t="s">
        <v>1443</v>
      </c>
      <c r="F149" s="8" t="s">
        <v>1134</v>
      </c>
      <c r="G149" s="64" t="s">
        <v>504</v>
      </c>
      <c r="H149" s="62" t="s">
        <v>1227</v>
      </c>
      <c r="J149" s="8">
        <v>2</v>
      </c>
    </row>
    <row r="150" spans="1:13">
      <c r="A150" s="146">
        <v>147</v>
      </c>
      <c r="B150" s="8" t="s">
        <v>1444</v>
      </c>
      <c r="C150" s="7" t="s">
        <v>1443</v>
      </c>
      <c r="F150" s="8" t="s">
        <v>1134</v>
      </c>
      <c r="G150" s="64" t="s">
        <v>504</v>
      </c>
      <c r="H150" s="62" t="s">
        <v>1227</v>
      </c>
      <c r="J150" s="8">
        <v>2</v>
      </c>
    </row>
    <row r="151" spans="1:13">
      <c r="A151" s="145">
        <v>148</v>
      </c>
      <c r="B151" s="8" t="s">
        <v>498</v>
      </c>
      <c r="C151" s="7" t="s">
        <v>1443</v>
      </c>
      <c r="F151" s="8" t="s">
        <v>512</v>
      </c>
      <c r="G151" s="64" t="s">
        <v>504</v>
      </c>
      <c r="H151" s="62" t="s">
        <v>1227</v>
      </c>
    </row>
    <row r="152" spans="1:13">
      <c r="A152" s="145">
        <v>149</v>
      </c>
      <c r="B152" s="8" t="s">
        <v>1445</v>
      </c>
      <c r="C152" s="7" t="s">
        <v>1135</v>
      </c>
      <c r="D152" s="7" t="s">
        <v>1110</v>
      </c>
      <c r="E152" s="8" t="s">
        <v>1446</v>
      </c>
      <c r="F152" s="8" t="s">
        <v>1447</v>
      </c>
      <c r="G152" s="64" t="s">
        <v>504</v>
      </c>
      <c r="H152" s="62" t="s">
        <v>1227</v>
      </c>
      <c r="M152" s="8">
        <v>2</v>
      </c>
    </row>
    <row r="153" spans="1:13">
      <c r="A153" s="145">
        <v>150</v>
      </c>
      <c r="B153" s="8" t="s">
        <v>1448</v>
      </c>
      <c r="C153" s="7" t="s">
        <v>1443</v>
      </c>
      <c r="F153" s="8" t="s">
        <v>1447</v>
      </c>
      <c r="G153" s="64" t="s">
        <v>504</v>
      </c>
      <c r="H153" s="62" t="s">
        <v>1227</v>
      </c>
      <c r="M153" s="8">
        <v>1</v>
      </c>
    </row>
    <row r="154" spans="1:13">
      <c r="A154" s="146">
        <v>151</v>
      </c>
      <c r="B154" s="8" t="s">
        <v>1449</v>
      </c>
      <c r="C154" s="7" t="s">
        <v>1443</v>
      </c>
      <c r="F154" s="8" t="s">
        <v>1447</v>
      </c>
      <c r="G154" s="64" t="s">
        <v>504</v>
      </c>
      <c r="H154" s="62" t="s">
        <v>1227</v>
      </c>
      <c r="M154" s="8">
        <v>1</v>
      </c>
    </row>
    <row r="155" spans="1:13">
      <c r="A155" s="145">
        <v>152</v>
      </c>
      <c r="B155" s="8" t="s">
        <v>1450</v>
      </c>
      <c r="C155" s="7" t="s">
        <v>1139</v>
      </c>
      <c r="D155" s="7" t="s">
        <v>1110</v>
      </c>
      <c r="F155" s="8" t="s">
        <v>1451</v>
      </c>
      <c r="G155" s="64" t="s">
        <v>504</v>
      </c>
      <c r="H155" s="62" t="s">
        <v>1227</v>
      </c>
      <c r="J155" s="8">
        <v>1</v>
      </c>
    </row>
    <row r="156" spans="1:13">
      <c r="A156" s="145">
        <v>153</v>
      </c>
      <c r="B156" s="8" t="s">
        <v>1452</v>
      </c>
      <c r="C156" s="7" t="s">
        <v>1453</v>
      </c>
      <c r="D156" s="7" t="s">
        <v>1454</v>
      </c>
      <c r="E156" s="8" t="s">
        <v>1455</v>
      </c>
      <c r="F156" s="8" t="s">
        <v>1456</v>
      </c>
      <c r="G156" s="64" t="s">
        <v>504</v>
      </c>
      <c r="H156" s="62" t="s">
        <v>1227</v>
      </c>
      <c r="J156" s="8">
        <v>1</v>
      </c>
    </row>
    <row r="157" spans="1:13">
      <c r="A157" s="145">
        <v>154</v>
      </c>
      <c r="B157" s="8" t="s">
        <v>1457</v>
      </c>
      <c r="C157" s="7" t="s">
        <v>1453</v>
      </c>
      <c r="E157" s="8" t="s">
        <v>1455</v>
      </c>
      <c r="F157" s="8" t="s">
        <v>1456</v>
      </c>
      <c r="G157" s="64" t="s">
        <v>504</v>
      </c>
      <c r="H157" s="62" t="s">
        <v>1227</v>
      </c>
      <c r="M157" s="8">
        <v>4</v>
      </c>
    </row>
    <row r="158" spans="1:13">
      <c r="A158" s="145">
        <v>155</v>
      </c>
      <c r="B158" s="8" t="s">
        <v>1458</v>
      </c>
      <c r="C158" s="7" t="s">
        <v>1230</v>
      </c>
      <c r="F158" s="8" t="s">
        <v>1459</v>
      </c>
      <c r="G158" s="64" t="s">
        <v>504</v>
      </c>
      <c r="H158" s="62" t="s">
        <v>1227</v>
      </c>
      <c r="J158" s="8">
        <v>1</v>
      </c>
    </row>
    <row r="159" spans="1:13">
      <c r="A159" s="146">
        <v>156</v>
      </c>
      <c r="B159" s="8" t="s">
        <v>1460</v>
      </c>
      <c r="C159" s="7" t="s">
        <v>1230</v>
      </c>
      <c r="F159" s="8" t="s">
        <v>1461</v>
      </c>
      <c r="G159" s="64" t="s">
        <v>504</v>
      </c>
      <c r="H159" s="62" t="s">
        <v>1227</v>
      </c>
      <c r="J159" s="8">
        <v>1</v>
      </c>
    </row>
    <row r="160" spans="1:13">
      <c r="A160" s="145">
        <v>157</v>
      </c>
      <c r="B160" s="8" t="s">
        <v>1462</v>
      </c>
      <c r="C160" s="7" t="s">
        <v>1463</v>
      </c>
      <c r="D160" s="7" t="s">
        <v>1110</v>
      </c>
      <c r="F160" s="8" t="s">
        <v>1464</v>
      </c>
      <c r="G160" s="64" t="s">
        <v>504</v>
      </c>
      <c r="H160" s="62" t="s">
        <v>1227</v>
      </c>
      <c r="J160" s="8">
        <v>1</v>
      </c>
    </row>
    <row r="161" spans="1:13">
      <c r="A161" s="145">
        <v>158</v>
      </c>
      <c r="B161" s="8" t="s">
        <v>1465</v>
      </c>
      <c r="C161" s="7" t="s">
        <v>1230</v>
      </c>
      <c r="F161" s="8" t="s">
        <v>1464</v>
      </c>
      <c r="G161" s="64" t="s">
        <v>504</v>
      </c>
      <c r="H161" s="62" t="s">
        <v>1227</v>
      </c>
      <c r="J161" s="8">
        <v>1</v>
      </c>
    </row>
    <row r="162" spans="1:13">
      <c r="A162" s="145">
        <v>159</v>
      </c>
      <c r="B162" s="8" t="s">
        <v>1466</v>
      </c>
      <c r="C162" s="7" t="s">
        <v>1230</v>
      </c>
      <c r="F162" s="8" t="s">
        <v>1464</v>
      </c>
      <c r="G162" s="64" t="s">
        <v>504</v>
      </c>
      <c r="H162" s="62" t="s">
        <v>1227</v>
      </c>
      <c r="J162" s="8">
        <v>1</v>
      </c>
    </row>
    <row r="163" spans="1:13">
      <c r="A163" s="146">
        <v>160</v>
      </c>
      <c r="B163" s="8" t="s">
        <v>1467</v>
      </c>
      <c r="C163" s="7" t="s">
        <v>1140</v>
      </c>
      <c r="D163" s="7" t="s">
        <v>1110</v>
      </c>
      <c r="E163" s="8" t="s">
        <v>1468</v>
      </c>
      <c r="F163" s="8" t="s">
        <v>1469</v>
      </c>
      <c r="G163" s="64" t="s">
        <v>504</v>
      </c>
      <c r="H163" s="62" t="s">
        <v>1227</v>
      </c>
    </row>
    <row r="164" spans="1:13">
      <c r="A164" s="145">
        <v>161</v>
      </c>
      <c r="B164" s="8" t="s">
        <v>1470</v>
      </c>
      <c r="C164" s="7" t="s">
        <v>1230</v>
      </c>
      <c r="F164" s="8" t="s">
        <v>1137</v>
      </c>
      <c r="G164" s="64" t="s">
        <v>504</v>
      </c>
      <c r="H164" s="62" t="s">
        <v>1227</v>
      </c>
      <c r="M164" s="8">
        <v>1</v>
      </c>
    </row>
    <row r="165" spans="1:13">
      <c r="A165" s="145">
        <v>162</v>
      </c>
      <c r="B165" s="8" t="s">
        <v>1471</v>
      </c>
      <c r="C165" s="7" t="s">
        <v>1230</v>
      </c>
      <c r="F165" s="8" t="s">
        <v>1137</v>
      </c>
      <c r="G165" s="64" t="s">
        <v>504</v>
      </c>
      <c r="H165" s="62" t="s">
        <v>1227</v>
      </c>
      <c r="J165" s="8">
        <v>1</v>
      </c>
    </row>
    <row r="166" spans="1:13">
      <c r="A166" s="145">
        <v>163</v>
      </c>
      <c r="B166" s="8" t="s">
        <v>1136</v>
      </c>
      <c r="C166" s="7" t="s">
        <v>1209</v>
      </c>
      <c r="D166" s="7" t="s">
        <v>1110</v>
      </c>
      <c r="F166" s="8" t="s">
        <v>1137</v>
      </c>
      <c r="G166" s="64" t="s">
        <v>504</v>
      </c>
      <c r="H166" s="62" t="s">
        <v>1227</v>
      </c>
    </row>
    <row r="167" spans="1:13">
      <c r="A167" s="145">
        <v>164</v>
      </c>
      <c r="B167" s="8" t="s">
        <v>1472</v>
      </c>
      <c r="C167" s="7" t="s">
        <v>1230</v>
      </c>
      <c r="F167" s="8" t="s">
        <v>1473</v>
      </c>
      <c r="G167" s="64" t="s">
        <v>504</v>
      </c>
      <c r="H167" s="62" t="s">
        <v>1227</v>
      </c>
      <c r="J167" s="8">
        <v>1</v>
      </c>
    </row>
    <row r="168" spans="1:13">
      <c r="A168" s="146">
        <v>165</v>
      </c>
      <c r="B168" s="8" t="s">
        <v>1474</v>
      </c>
      <c r="C168" s="7" t="s">
        <v>1230</v>
      </c>
      <c r="F168" s="8" t="s">
        <v>1473</v>
      </c>
      <c r="G168" s="64" t="s">
        <v>504</v>
      </c>
      <c r="H168" s="62" t="s">
        <v>1227</v>
      </c>
      <c r="J168" s="8">
        <v>1</v>
      </c>
    </row>
    <row r="169" spans="1:13">
      <c r="A169" s="145">
        <v>166</v>
      </c>
      <c r="B169" s="8" t="s">
        <v>1475</v>
      </c>
      <c r="C169" s="7" t="s">
        <v>1476</v>
      </c>
      <c r="D169" s="7" t="s">
        <v>1110</v>
      </c>
      <c r="E169" s="8" t="s">
        <v>1477</v>
      </c>
      <c r="F169" s="8" t="s">
        <v>1478</v>
      </c>
      <c r="G169" s="64" t="s">
        <v>504</v>
      </c>
      <c r="H169" s="62" t="s">
        <v>1227</v>
      </c>
    </row>
    <row r="170" spans="1:13">
      <c r="A170" s="145">
        <v>167</v>
      </c>
      <c r="B170" s="8" t="s">
        <v>1479</v>
      </c>
      <c r="C170" s="7" t="s">
        <v>1230</v>
      </c>
      <c r="F170" s="8" t="s">
        <v>1210</v>
      </c>
      <c r="G170" s="64" t="s">
        <v>504</v>
      </c>
      <c r="H170" s="62" t="s">
        <v>1227</v>
      </c>
    </row>
    <row r="171" spans="1:13">
      <c r="A171" s="145">
        <v>168</v>
      </c>
      <c r="B171" s="8" t="s">
        <v>1480</v>
      </c>
      <c r="C171" s="7" t="s">
        <v>1230</v>
      </c>
      <c r="F171" s="8" t="s">
        <v>1138</v>
      </c>
      <c r="G171" s="64" t="s">
        <v>504</v>
      </c>
      <c r="H171" s="62" t="s">
        <v>1227</v>
      </c>
      <c r="J171" s="8">
        <v>1</v>
      </c>
    </row>
    <row r="172" spans="1:13">
      <c r="A172" s="146">
        <v>169</v>
      </c>
      <c r="B172" s="8" t="s">
        <v>1481</v>
      </c>
      <c r="C172" s="7" t="s">
        <v>1230</v>
      </c>
      <c r="F172" s="8" t="s">
        <v>1138</v>
      </c>
      <c r="G172" s="64" t="s">
        <v>504</v>
      </c>
      <c r="H172" s="62" t="s">
        <v>1227</v>
      </c>
      <c r="J172" s="8">
        <v>1</v>
      </c>
    </row>
    <row r="173" spans="1:13">
      <c r="A173" s="145">
        <v>170</v>
      </c>
      <c r="B173" s="8" t="s">
        <v>1482</v>
      </c>
      <c r="C173" s="7" t="s">
        <v>1230</v>
      </c>
      <c r="F173" s="8" t="s">
        <v>1138</v>
      </c>
      <c r="G173" s="64" t="s">
        <v>504</v>
      </c>
      <c r="H173" s="62" t="s">
        <v>1227</v>
      </c>
      <c r="J173" s="8">
        <v>1</v>
      </c>
    </row>
    <row r="174" spans="1:13">
      <c r="A174" s="145">
        <v>171</v>
      </c>
      <c r="B174" s="8" t="s">
        <v>1483</v>
      </c>
      <c r="C174" s="7" t="s">
        <v>1131</v>
      </c>
      <c r="D174" s="7" t="s">
        <v>1132</v>
      </c>
      <c r="E174" s="8" t="s">
        <v>1484</v>
      </c>
      <c r="F174" s="8" t="s">
        <v>1138</v>
      </c>
      <c r="G174" s="64" t="s">
        <v>504</v>
      </c>
      <c r="H174" s="62" t="s">
        <v>1227</v>
      </c>
      <c r="J174" s="8">
        <v>4</v>
      </c>
    </row>
    <row r="175" spans="1:13">
      <c r="A175" s="145">
        <v>172</v>
      </c>
      <c r="B175" s="8" t="s">
        <v>1485</v>
      </c>
      <c r="C175" s="7" t="s">
        <v>1230</v>
      </c>
      <c r="F175" s="8" t="s">
        <v>1486</v>
      </c>
      <c r="G175" s="64" t="s">
        <v>504</v>
      </c>
      <c r="H175" s="62" t="s">
        <v>1227</v>
      </c>
    </row>
    <row r="176" spans="1:13">
      <c r="A176" s="145">
        <v>173</v>
      </c>
      <c r="B176" s="8" t="s">
        <v>1487</v>
      </c>
      <c r="C176" s="7" t="s">
        <v>1230</v>
      </c>
      <c r="F176" s="8" t="s">
        <v>515</v>
      </c>
      <c r="G176" s="64" t="s">
        <v>504</v>
      </c>
      <c r="H176" s="62" t="s">
        <v>1227</v>
      </c>
      <c r="J176" s="8">
        <v>1</v>
      </c>
    </row>
    <row r="177" spans="1:13">
      <c r="A177" s="146">
        <v>174</v>
      </c>
      <c r="B177" s="8" t="s">
        <v>1487</v>
      </c>
      <c r="C177" s="7" t="s">
        <v>1230</v>
      </c>
      <c r="F177" s="8" t="s">
        <v>515</v>
      </c>
      <c r="G177" s="64" t="s">
        <v>504</v>
      </c>
      <c r="H177" s="62" t="s">
        <v>1227</v>
      </c>
      <c r="J177" s="8">
        <v>1</v>
      </c>
    </row>
    <row r="178" spans="1:13">
      <c r="A178" s="145">
        <v>175</v>
      </c>
      <c r="B178" s="8" t="s">
        <v>1488</v>
      </c>
      <c r="C178" s="7" t="s">
        <v>1129</v>
      </c>
      <c r="D178" s="7" t="s">
        <v>1130</v>
      </c>
      <c r="E178" s="8" t="s">
        <v>1489</v>
      </c>
      <c r="F178" s="8" t="s">
        <v>1490</v>
      </c>
      <c r="G178" s="64" t="s">
        <v>504</v>
      </c>
      <c r="H178" s="62" t="s">
        <v>1227</v>
      </c>
    </row>
    <row r="179" spans="1:13">
      <c r="A179" s="145">
        <v>176</v>
      </c>
      <c r="B179" s="8" t="s">
        <v>1430</v>
      </c>
      <c r="C179" s="7" t="s">
        <v>1230</v>
      </c>
      <c r="G179" s="64" t="s">
        <v>504</v>
      </c>
      <c r="H179" s="62" t="s">
        <v>1227</v>
      </c>
      <c r="J179" s="8">
        <v>1</v>
      </c>
    </row>
    <row r="180" spans="1:13">
      <c r="A180" s="145">
        <v>177</v>
      </c>
      <c r="B180" s="8" t="s">
        <v>1431</v>
      </c>
      <c r="C180" s="7" t="s">
        <v>1230</v>
      </c>
      <c r="G180" s="64" t="s">
        <v>504</v>
      </c>
      <c r="H180" s="62" t="s">
        <v>1227</v>
      </c>
      <c r="J180" s="8">
        <v>1</v>
      </c>
    </row>
    <row r="181" spans="1:13">
      <c r="A181" s="146">
        <v>178</v>
      </c>
      <c r="B181" s="8" t="s">
        <v>1432</v>
      </c>
      <c r="C181" s="7" t="s">
        <v>1230</v>
      </c>
      <c r="G181" s="64" t="s">
        <v>504</v>
      </c>
      <c r="H181" s="62" t="s">
        <v>1227</v>
      </c>
      <c r="J181" s="8">
        <v>1</v>
      </c>
    </row>
    <row r="182" spans="1:13">
      <c r="A182" s="145">
        <v>179</v>
      </c>
      <c r="B182" s="8" t="s">
        <v>1433</v>
      </c>
      <c r="C182" s="7" t="s">
        <v>1230</v>
      </c>
      <c r="G182" s="64" t="s">
        <v>504</v>
      </c>
      <c r="H182" s="62" t="s">
        <v>1227</v>
      </c>
      <c r="M182" s="8">
        <v>1</v>
      </c>
    </row>
    <row r="183" spans="1:13">
      <c r="A183" s="145">
        <v>180</v>
      </c>
      <c r="B183" s="8" t="s">
        <v>1434</v>
      </c>
      <c r="C183" s="7" t="s">
        <v>1230</v>
      </c>
      <c r="G183" s="64" t="s">
        <v>504</v>
      </c>
      <c r="H183" s="62" t="s">
        <v>1227</v>
      </c>
      <c r="J183" s="8">
        <v>1</v>
      </c>
      <c r="M183" s="8">
        <v>1</v>
      </c>
    </row>
    <row r="184" spans="1:13">
      <c r="A184" s="145">
        <v>181</v>
      </c>
      <c r="B184" s="8" t="s">
        <v>1435</v>
      </c>
      <c r="C184" s="7" t="s">
        <v>1230</v>
      </c>
      <c r="G184" s="64" t="s">
        <v>504</v>
      </c>
      <c r="H184" s="62" t="s">
        <v>1227</v>
      </c>
      <c r="J184" s="8">
        <v>1</v>
      </c>
    </row>
    <row r="185" spans="1:13">
      <c r="A185" s="145">
        <v>182</v>
      </c>
      <c r="B185" s="8" t="s">
        <v>1491</v>
      </c>
      <c r="C185" s="7" t="s">
        <v>1211</v>
      </c>
      <c r="D185" s="7" t="s">
        <v>1212</v>
      </c>
      <c r="F185" s="8" t="s">
        <v>1492</v>
      </c>
      <c r="G185" s="64" t="s">
        <v>517</v>
      </c>
      <c r="H185" s="62" t="s">
        <v>1227</v>
      </c>
    </row>
    <row r="186" spans="1:13">
      <c r="A186" s="146">
        <v>183</v>
      </c>
      <c r="B186" s="8" t="s">
        <v>1493</v>
      </c>
      <c r="C186" s="7" t="s">
        <v>1141</v>
      </c>
      <c r="D186" s="7" t="s">
        <v>1142</v>
      </c>
      <c r="F186" s="8" t="s">
        <v>1494</v>
      </c>
      <c r="G186" s="64" t="s">
        <v>517</v>
      </c>
      <c r="H186" s="62" t="s">
        <v>1227</v>
      </c>
    </row>
    <row r="187" spans="1:13">
      <c r="A187" s="145">
        <v>184</v>
      </c>
      <c r="B187" s="8" t="s">
        <v>1495</v>
      </c>
      <c r="C187" s="7" t="s">
        <v>1496</v>
      </c>
      <c r="D187" s="7" t="s">
        <v>1497</v>
      </c>
      <c r="F187" s="8" t="s">
        <v>1494</v>
      </c>
      <c r="G187" s="64" t="s">
        <v>517</v>
      </c>
      <c r="H187" s="62" t="s">
        <v>1227</v>
      </c>
    </row>
    <row r="188" spans="1:13">
      <c r="A188" s="145">
        <v>185</v>
      </c>
      <c r="C188" s="7" t="s">
        <v>1498</v>
      </c>
      <c r="D188" s="7" t="s">
        <v>1213</v>
      </c>
      <c r="F188" s="8" t="s">
        <v>1494</v>
      </c>
      <c r="G188" s="64" t="s">
        <v>517</v>
      </c>
      <c r="H188" s="62" t="s">
        <v>1227</v>
      </c>
    </row>
    <row r="189" spans="1:13">
      <c r="A189" s="145">
        <v>186</v>
      </c>
      <c r="B189" s="8" t="s">
        <v>1499</v>
      </c>
      <c r="C189" s="7" t="s">
        <v>1143</v>
      </c>
      <c r="D189" s="7" t="s">
        <v>1144</v>
      </c>
      <c r="F189" s="8" t="s">
        <v>1500</v>
      </c>
      <c r="G189" s="64" t="s">
        <v>1145</v>
      </c>
      <c r="H189" s="62" t="s">
        <v>1227</v>
      </c>
    </row>
    <row r="190" spans="1:13">
      <c r="A190" s="146">
        <v>187</v>
      </c>
      <c r="B190" s="8" t="s">
        <v>1501</v>
      </c>
      <c r="C190" s="7" t="s">
        <v>1146</v>
      </c>
      <c r="D190" s="7" t="s">
        <v>1147</v>
      </c>
      <c r="F190" s="8" t="s">
        <v>1500</v>
      </c>
      <c r="G190" s="64" t="s">
        <v>1145</v>
      </c>
      <c r="H190" s="62" t="s">
        <v>1227</v>
      </c>
    </row>
    <row r="191" spans="1:13">
      <c r="A191" s="145">
        <v>188</v>
      </c>
      <c r="B191" s="8" t="s">
        <v>1502</v>
      </c>
      <c r="C191" s="7" t="s">
        <v>1148</v>
      </c>
      <c r="D191" s="7" t="s">
        <v>1503</v>
      </c>
      <c r="F191" s="8" t="s">
        <v>1500</v>
      </c>
      <c r="G191" s="64" t="s">
        <v>1145</v>
      </c>
      <c r="H191" s="62" t="s">
        <v>1227</v>
      </c>
    </row>
    <row r="192" spans="1:13">
      <c r="A192" s="145">
        <v>189</v>
      </c>
      <c r="B192" s="8" t="s">
        <v>1504</v>
      </c>
      <c r="C192" s="7" t="s">
        <v>1230</v>
      </c>
      <c r="F192" s="8" t="s">
        <v>1505</v>
      </c>
      <c r="G192" s="64" t="s">
        <v>1145</v>
      </c>
      <c r="H192" s="62" t="s">
        <v>1227</v>
      </c>
    </row>
    <row r="193" spans="1:8">
      <c r="A193" s="145">
        <v>190</v>
      </c>
      <c r="B193" s="8" t="s">
        <v>1506</v>
      </c>
      <c r="C193" s="7" t="s">
        <v>1230</v>
      </c>
      <c r="G193" s="64" t="s">
        <v>1507</v>
      </c>
      <c r="H193" s="62" t="s">
        <v>1227</v>
      </c>
    </row>
    <row r="194" spans="1:8">
      <c r="A194" s="145">
        <v>191</v>
      </c>
      <c r="B194" s="8" t="s">
        <v>1508</v>
      </c>
      <c r="C194" s="7" t="s">
        <v>1230</v>
      </c>
      <c r="G194" s="64" t="s">
        <v>1509</v>
      </c>
      <c r="H194" s="62" t="s">
        <v>1227</v>
      </c>
    </row>
    <row r="195" spans="1:8">
      <c r="A195" s="146">
        <v>192</v>
      </c>
      <c r="B195" s="8" t="s">
        <v>1510</v>
      </c>
      <c r="C195" s="7" t="s">
        <v>1230</v>
      </c>
      <c r="F195" s="8" t="s">
        <v>1511</v>
      </c>
      <c r="G195" s="64" t="s">
        <v>1512</v>
      </c>
      <c r="H195" s="62" t="s">
        <v>1227</v>
      </c>
    </row>
    <row r="196" spans="1:8">
      <c r="A196" s="145">
        <v>193</v>
      </c>
      <c r="B196" s="8" t="s">
        <v>486</v>
      </c>
      <c r="C196" s="7" t="s">
        <v>1230</v>
      </c>
      <c r="F196" s="8" t="s">
        <v>1513</v>
      </c>
      <c r="G196" s="64" t="s">
        <v>502</v>
      </c>
      <c r="H196" s="62" t="s">
        <v>1227</v>
      </c>
    </row>
    <row r="197" spans="1:8">
      <c r="A197" s="145">
        <v>194</v>
      </c>
      <c r="B197" s="8" t="s">
        <v>1514</v>
      </c>
      <c r="C197" s="7" t="s">
        <v>1230</v>
      </c>
      <c r="G197" s="64" t="s">
        <v>1515</v>
      </c>
      <c r="H197" s="62" t="s">
        <v>1227</v>
      </c>
    </row>
    <row r="198" spans="1:8">
      <c r="A198" s="145">
        <v>195</v>
      </c>
      <c r="B198" s="8" t="s">
        <v>1516</v>
      </c>
      <c r="C198" s="7" t="s">
        <v>1214</v>
      </c>
      <c r="D198" s="7" t="s">
        <v>1110</v>
      </c>
      <c r="F198" s="8" t="s">
        <v>1517</v>
      </c>
      <c r="G198" s="64" t="s">
        <v>1518</v>
      </c>
      <c r="H198" s="62" t="s">
        <v>1227</v>
      </c>
    </row>
    <row r="199" spans="1:8">
      <c r="A199" s="146">
        <v>196</v>
      </c>
      <c r="B199" s="8" t="s">
        <v>1519</v>
      </c>
      <c r="C199" s="7" t="s">
        <v>1230</v>
      </c>
      <c r="G199" s="64" t="s">
        <v>1520</v>
      </c>
      <c r="H199" s="62" t="s">
        <v>1227</v>
      </c>
    </row>
    <row r="200" spans="1:8">
      <c r="A200" s="145">
        <v>197</v>
      </c>
      <c r="B200" s="8" t="s">
        <v>1521</v>
      </c>
      <c r="C200" s="7" t="s">
        <v>1230</v>
      </c>
      <c r="H200" s="8" t="s">
        <v>1522</v>
      </c>
    </row>
    <row r="202" spans="1:8">
      <c r="B202" s="1" t="s">
        <v>1559</v>
      </c>
    </row>
    <row r="203" spans="1:8">
      <c r="A203" s="145">
        <v>1</v>
      </c>
      <c r="B203" s="8" t="s">
        <v>1523</v>
      </c>
      <c r="C203" s="7" t="s">
        <v>1230</v>
      </c>
      <c r="F203" s="8" t="s">
        <v>1524</v>
      </c>
      <c r="G203" s="8" t="s">
        <v>1525</v>
      </c>
      <c r="H203" s="64" t="s">
        <v>1152</v>
      </c>
    </row>
    <row r="204" spans="1:8">
      <c r="A204" s="145">
        <v>2</v>
      </c>
      <c r="B204" s="8" t="s">
        <v>1526</v>
      </c>
      <c r="C204" s="7" t="s">
        <v>1230</v>
      </c>
      <c r="F204" s="8" t="s">
        <v>1158</v>
      </c>
      <c r="G204" s="8" t="s">
        <v>1525</v>
      </c>
      <c r="H204" s="64" t="s">
        <v>1152</v>
      </c>
    </row>
    <row r="205" spans="1:8">
      <c r="A205" s="145">
        <v>3</v>
      </c>
      <c r="B205" s="8" t="s">
        <v>1527</v>
      </c>
      <c r="C205" s="7" t="s">
        <v>1528</v>
      </c>
      <c r="D205" s="7" t="s">
        <v>1529</v>
      </c>
      <c r="F205" s="8" t="s">
        <v>1530</v>
      </c>
      <c r="G205" s="8" t="s">
        <v>1531</v>
      </c>
      <c r="H205" s="64" t="s">
        <v>1152</v>
      </c>
    </row>
    <row r="206" spans="1:8">
      <c r="A206" s="145">
        <v>4</v>
      </c>
      <c r="B206" s="8" t="s">
        <v>1149</v>
      </c>
      <c r="C206" s="7" t="s">
        <v>1150</v>
      </c>
      <c r="D206" s="7" t="s">
        <v>1151</v>
      </c>
      <c r="F206" s="8" t="s">
        <v>1530</v>
      </c>
      <c r="G206" s="8" t="s">
        <v>1531</v>
      </c>
      <c r="H206" s="64" t="s">
        <v>1152</v>
      </c>
    </row>
    <row r="207" spans="1:8">
      <c r="A207" s="145">
        <v>5</v>
      </c>
      <c r="B207" s="8" t="s">
        <v>1532</v>
      </c>
      <c r="C207" s="7" t="s">
        <v>1156</v>
      </c>
      <c r="D207" s="7" t="s">
        <v>1157</v>
      </c>
      <c r="F207" s="8" t="s">
        <v>1533</v>
      </c>
      <c r="G207" s="8" t="s">
        <v>1534</v>
      </c>
      <c r="H207" s="64" t="s">
        <v>1152</v>
      </c>
    </row>
    <row r="208" spans="1:8">
      <c r="A208" s="145">
        <v>6</v>
      </c>
      <c r="B208" s="8" t="s">
        <v>1535</v>
      </c>
      <c r="C208" s="7" t="s">
        <v>1230</v>
      </c>
      <c r="G208" s="8" t="s">
        <v>1534</v>
      </c>
      <c r="H208" s="64" t="s">
        <v>1152</v>
      </c>
    </row>
    <row r="209" spans="1:10">
      <c r="A209" s="145">
        <v>7</v>
      </c>
      <c r="B209" s="8" t="s">
        <v>1536</v>
      </c>
      <c r="C209" s="7" t="s">
        <v>1230</v>
      </c>
      <c r="G209" s="8" t="s">
        <v>1534</v>
      </c>
      <c r="H209" s="64" t="s">
        <v>1152</v>
      </c>
    </row>
    <row r="210" spans="1:10">
      <c r="A210" s="146">
        <v>8</v>
      </c>
      <c r="B210" s="8" t="s">
        <v>1153</v>
      </c>
      <c r="C210" s="7" t="s">
        <v>1154</v>
      </c>
      <c r="D210" s="7" t="s">
        <v>1155</v>
      </c>
      <c r="F210" s="8" t="s">
        <v>1537</v>
      </c>
      <c r="G210" s="8" t="s">
        <v>1538</v>
      </c>
      <c r="H210" s="64" t="s">
        <v>1152</v>
      </c>
    </row>
    <row r="211" spans="1:10">
      <c r="A211" s="145">
        <v>9</v>
      </c>
      <c r="B211" s="8" t="s">
        <v>1159</v>
      </c>
      <c r="C211" s="7" t="s">
        <v>1230</v>
      </c>
      <c r="F211" s="8" t="s">
        <v>1160</v>
      </c>
      <c r="G211" s="8" t="s">
        <v>1538</v>
      </c>
      <c r="H211" s="64" t="s">
        <v>1152</v>
      </c>
    </row>
    <row r="212" spans="1:10">
      <c r="A212" s="145">
        <v>10</v>
      </c>
      <c r="B212" s="8" t="s">
        <v>1539</v>
      </c>
      <c r="C212" s="7" t="s">
        <v>1230</v>
      </c>
      <c r="F212" s="8" t="s">
        <v>1161</v>
      </c>
      <c r="G212" s="8" t="s">
        <v>1538</v>
      </c>
      <c r="H212" s="64" t="s">
        <v>1152</v>
      </c>
    </row>
    <row r="213" spans="1:10">
      <c r="A213" s="145">
        <v>11</v>
      </c>
      <c r="B213" s="8" t="s">
        <v>1540</v>
      </c>
      <c r="C213" s="7" t="s">
        <v>1230</v>
      </c>
      <c r="F213" s="8" t="s">
        <v>1161</v>
      </c>
      <c r="G213" s="8" t="s">
        <v>1538</v>
      </c>
      <c r="H213" s="64" t="s">
        <v>1152</v>
      </c>
    </row>
    <row r="214" spans="1:10">
      <c r="A214" s="145">
        <v>12</v>
      </c>
      <c r="B214" s="8" t="s">
        <v>1541</v>
      </c>
      <c r="C214" s="7" t="s">
        <v>1230</v>
      </c>
      <c r="F214" s="8" t="s">
        <v>1161</v>
      </c>
      <c r="G214" s="8" t="s">
        <v>1538</v>
      </c>
      <c r="H214" s="64" t="s">
        <v>1152</v>
      </c>
    </row>
    <row r="215" spans="1:10">
      <c r="A215" s="146">
        <v>13</v>
      </c>
      <c r="B215" s="8" t="s">
        <v>1542</v>
      </c>
      <c r="C215" s="7" t="s">
        <v>1230</v>
      </c>
      <c r="F215" s="8" t="s">
        <v>1161</v>
      </c>
      <c r="G215" s="8" t="s">
        <v>1538</v>
      </c>
      <c r="H215" s="64" t="s">
        <v>1152</v>
      </c>
      <c r="J215" s="8">
        <v>1</v>
      </c>
    </row>
    <row r="216" spans="1:10">
      <c r="A216" s="145">
        <v>14</v>
      </c>
      <c r="B216" s="8" t="s">
        <v>1543</v>
      </c>
      <c r="C216" s="7" t="s">
        <v>1230</v>
      </c>
      <c r="G216" s="8" t="s">
        <v>1538</v>
      </c>
      <c r="H216" s="64" t="s">
        <v>1152</v>
      </c>
      <c r="J216" s="8">
        <v>2</v>
      </c>
    </row>
    <row r="217" spans="1:10">
      <c r="A217" s="145">
        <v>15</v>
      </c>
      <c r="B217" s="8" t="s">
        <v>1544</v>
      </c>
      <c r="C217" s="7" t="s">
        <v>1230</v>
      </c>
      <c r="G217" s="8" t="s">
        <v>1538</v>
      </c>
      <c r="H217" s="64" t="s">
        <v>1152</v>
      </c>
      <c r="J217" s="8">
        <v>1</v>
      </c>
    </row>
    <row r="218" spans="1:10">
      <c r="A218" s="145">
        <v>16</v>
      </c>
      <c r="B218" s="8" t="s">
        <v>1545</v>
      </c>
      <c r="C218" s="7" t="s">
        <v>1230</v>
      </c>
      <c r="D218" s="8"/>
      <c r="F218" s="64"/>
      <c r="G218" s="8" t="s">
        <v>518</v>
      </c>
      <c r="H218" s="64" t="s">
        <v>508</v>
      </c>
      <c r="J218" s="8">
        <v>1</v>
      </c>
    </row>
    <row r="219" spans="1:10">
      <c r="A219" s="146">
        <v>17</v>
      </c>
      <c r="B219" s="8" t="s">
        <v>1546</v>
      </c>
      <c r="C219" s="7" t="s">
        <v>1230</v>
      </c>
      <c r="D219" s="8"/>
      <c r="F219" s="64"/>
      <c r="G219" s="8" t="s">
        <v>518</v>
      </c>
      <c r="H219" s="64" t="s">
        <v>508</v>
      </c>
      <c r="J219" s="8">
        <v>1</v>
      </c>
    </row>
    <row r="220" spans="1:10">
      <c r="A220" s="145">
        <v>18</v>
      </c>
      <c r="B220" s="8" t="s">
        <v>1547</v>
      </c>
      <c r="C220" s="7" t="s">
        <v>1230</v>
      </c>
      <c r="D220" s="8"/>
      <c r="F220" s="64"/>
      <c r="G220" s="8" t="s">
        <v>518</v>
      </c>
      <c r="H220" s="64" t="s">
        <v>508</v>
      </c>
      <c r="J220" s="8">
        <v>1</v>
      </c>
    </row>
    <row r="221" spans="1:10">
      <c r="A221" s="145">
        <v>19</v>
      </c>
      <c r="B221" s="8" t="s">
        <v>1548</v>
      </c>
      <c r="C221" s="7" t="s">
        <v>1230</v>
      </c>
      <c r="D221" s="8"/>
      <c r="H221" s="64" t="s">
        <v>1549</v>
      </c>
    </row>
    <row r="222" spans="1:10">
      <c r="A222" s="145">
        <v>20</v>
      </c>
      <c r="B222" s="8" t="s">
        <v>1550</v>
      </c>
      <c r="C222" s="7" t="s">
        <v>1230</v>
      </c>
      <c r="D222" s="8"/>
      <c r="H222" s="64" t="s">
        <v>1549</v>
      </c>
    </row>
    <row r="223" spans="1:10">
      <c r="C223" s="8"/>
      <c r="D223" s="8"/>
    </row>
    <row r="224" spans="1:10">
      <c r="A224" s="146"/>
      <c r="B224" s="148" t="s">
        <v>1560</v>
      </c>
      <c r="C224" s="148"/>
      <c r="D224" s="148"/>
      <c r="E224" s="148"/>
    </row>
    <row r="228" spans="1:1">
      <c r="A228" s="146"/>
    </row>
    <row r="232" spans="1:1">
      <c r="A232" s="146"/>
    </row>
    <row r="236" spans="1:1">
      <c r="A236" s="146"/>
    </row>
    <row r="240" spans="1:1">
      <c r="A240" s="146"/>
    </row>
    <row r="247" spans="1:1">
      <c r="A247" s="146"/>
    </row>
    <row r="251" spans="1:1">
      <c r="A251" s="146"/>
    </row>
    <row r="255" spans="1:1">
      <c r="A255" s="146"/>
    </row>
    <row r="259" spans="1:1">
      <c r="A259" s="146"/>
    </row>
    <row r="266" spans="1:1">
      <c r="A266" s="146"/>
    </row>
    <row r="270" spans="1:1">
      <c r="A270" s="146"/>
    </row>
    <row r="274" spans="1:1">
      <c r="A274" s="146"/>
    </row>
    <row r="278" spans="1:1">
      <c r="A278" s="146"/>
    </row>
    <row r="282" spans="1:1">
      <c r="A282" s="146"/>
    </row>
  </sheetData>
  <mergeCells count="1">
    <mergeCell ref="A1:H1"/>
  </mergeCells>
  <phoneticPr fontId="2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89"/>
  <sheetViews>
    <sheetView workbookViewId="0">
      <selection activeCell="BV89" sqref="BV89"/>
    </sheetView>
  </sheetViews>
  <sheetFormatPr defaultRowHeight="12.75"/>
  <sheetData>
    <row r="1" spans="1:256">
      <c r="A1" t="e">
        <f>IF(Total!1:1,"AAAAAH+/vwA=",0)</f>
        <v>#VALUE!</v>
      </c>
      <c r="B1" t="e">
        <f>AND(Total!A1,"AAAAAH+/vwE=")</f>
        <v>#VALUE!</v>
      </c>
      <c r="C1" t="e">
        <f>AND(Total!B1,"AAAAAH+/vwI=")</f>
        <v>#VALUE!</v>
      </c>
      <c r="D1">
        <f>IF(Total!2:2,"AAAAAH+/vwM=",0)</f>
        <v>0</v>
      </c>
      <c r="E1" t="e">
        <f>AND(Total!A2,"AAAAAH+/vwQ=")</f>
        <v>#VALUE!</v>
      </c>
      <c r="F1" t="e">
        <f>AND(Total!B2,"AAAAAH+/vwU=")</f>
        <v>#VALUE!</v>
      </c>
      <c r="G1">
        <f>IF(Total!3:3,"AAAAAH+/vwY=",0)</f>
        <v>0</v>
      </c>
      <c r="H1" t="e">
        <f>AND(Total!A3,"AAAAAH+/vwc=")</f>
        <v>#VALUE!</v>
      </c>
      <c r="I1" t="e">
        <f>AND(Total!B3,"AAAAAH+/vwg=")</f>
        <v>#VALUE!</v>
      </c>
      <c r="J1">
        <f>IF(Total!4:4,"AAAAAH+/vwk=",0)</f>
        <v>0</v>
      </c>
      <c r="K1" t="e">
        <f>AND(Total!A4,"AAAAAH+/vwo=")</f>
        <v>#VALUE!</v>
      </c>
      <c r="L1" t="e">
        <f>AND(Total!B4,"AAAAAH+/vws=")</f>
        <v>#VALUE!</v>
      </c>
      <c r="M1">
        <f>IF(Total!5:5,"AAAAAH+/vww=",0)</f>
        <v>0</v>
      </c>
      <c r="N1" t="e">
        <f>AND(Total!A5,"AAAAAH+/vw0=")</f>
        <v>#VALUE!</v>
      </c>
      <c r="O1" t="e">
        <f>AND(Total!B5,"AAAAAH+/vw4=")</f>
        <v>#VALUE!</v>
      </c>
      <c r="P1">
        <f>IF(Total!6:6,"AAAAAH+/vw8=",0)</f>
        <v>0</v>
      </c>
      <c r="Q1" t="e">
        <f>AND(Total!A6,"AAAAAH+/vxA=")</f>
        <v>#VALUE!</v>
      </c>
      <c r="R1" t="e">
        <f>AND(Total!B6,"AAAAAH+/vxE=")</f>
        <v>#VALUE!</v>
      </c>
      <c r="S1">
        <f>IF(Total!7:7,"AAAAAH+/vxI=",0)</f>
        <v>0</v>
      </c>
      <c r="T1" t="e">
        <f>AND(Total!A7,"AAAAAH+/vxM=")</f>
        <v>#VALUE!</v>
      </c>
      <c r="U1" t="e">
        <f>AND(Total!B7,"AAAAAH+/vxQ=")</f>
        <v>#VALUE!</v>
      </c>
      <c r="V1">
        <f>IF(Total!8:8,"AAAAAH+/vxU=",0)</f>
        <v>0</v>
      </c>
      <c r="W1" t="e">
        <f>AND(Total!A8,"AAAAAH+/vxY=")</f>
        <v>#VALUE!</v>
      </c>
      <c r="X1" t="e">
        <f>AND(Total!B8,"AAAAAH+/vxc=")</f>
        <v>#VALUE!</v>
      </c>
      <c r="Y1">
        <f>IF(Total!9:9,"AAAAAH+/vxg=",0)</f>
        <v>0</v>
      </c>
      <c r="Z1" t="e">
        <f>AND(Total!A9,"AAAAAH+/vxk=")</f>
        <v>#VALUE!</v>
      </c>
      <c r="AA1" t="e">
        <f>AND(Total!B9,"AAAAAH+/vxo=")</f>
        <v>#VALUE!</v>
      </c>
      <c r="AB1">
        <f>IF(Total!10:10,"AAAAAH+/vxs=",0)</f>
        <v>0</v>
      </c>
      <c r="AC1" t="e">
        <f>AND(Total!A10,"AAAAAH+/vxw=")</f>
        <v>#VALUE!</v>
      </c>
      <c r="AD1" t="e">
        <f>AND(Total!B10,"AAAAAH+/vx0=")</f>
        <v>#VALUE!</v>
      </c>
      <c r="AE1">
        <f>IF(Total!11:11,"AAAAAH+/vx4=",0)</f>
        <v>0</v>
      </c>
      <c r="AF1" t="e">
        <f>AND(Total!A11,"AAAAAH+/vx8=")</f>
        <v>#VALUE!</v>
      </c>
      <c r="AG1" t="e">
        <f>AND(Total!B11,"AAAAAH+/vyA=")</f>
        <v>#VALUE!</v>
      </c>
      <c r="AH1" t="e">
        <f>IF(Total!A:A,"AAAAAH+/vyE=",0)</f>
        <v>#VALUE!</v>
      </c>
      <c r="AI1" t="str">
        <f>IF(Total!B:B,"AAAAAH+/vyI=",0)</f>
        <v>AAAAAH+/vyI=</v>
      </c>
      <c r="AJ1">
        <f>IF(Fish!1:1,"AAAAAH+/vyM=",0)</f>
        <v>0</v>
      </c>
      <c r="AK1" t="e">
        <f>AND(Fish!A1,"AAAAAH+/vyQ=")</f>
        <v>#VALUE!</v>
      </c>
      <c r="AL1" t="e">
        <f>AND(Fish!B1,"AAAAAH+/vyU=")</f>
        <v>#VALUE!</v>
      </c>
      <c r="AM1" t="e">
        <f>AND(Fish!C1,"AAAAAH+/vyY=")</f>
        <v>#VALUE!</v>
      </c>
      <c r="AN1" t="e">
        <f>AND(Fish!D1,"AAAAAH+/vyc=")</f>
        <v>#VALUE!</v>
      </c>
      <c r="AO1" t="e">
        <f>AND(Fish!E1,"AAAAAH+/vyg=")</f>
        <v>#VALUE!</v>
      </c>
      <c r="AP1" t="e">
        <f>AND(Fish!F1,"AAAAAH+/vyk=")</f>
        <v>#VALUE!</v>
      </c>
      <c r="AQ1" t="e">
        <f>AND(Fish!G1,"AAAAAH+/vyo=")</f>
        <v>#VALUE!</v>
      </c>
      <c r="AR1" t="e">
        <f>AND(Fish!H1,"AAAAAH+/vys=")</f>
        <v>#VALUE!</v>
      </c>
      <c r="AS1" t="e">
        <f>AND(Fish!I1,"AAAAAH+/vyw=")</f>
        <v>#VALUE!</v>
      </c>
      <c r="AT1" t="e">
        <f>AND(Fish!J1,"AAAAAH+/vy0=")</f>
        <v>#VALUE!</v>
      </c>
      <c r="AU1" t="e">
        <f>AND(Fish!K1,"AAAAAH+/vy4=")</f>
        <v>#VALUE!</v>
      </c>
      <c r="AV1">
        <f>IF(Fish!2:2,"AAAAAH+/vy8=",0)</f>
        <v>0</v>
      </c>
      <c r="AW1" t="e">
        <f>AND(Fish!A2,"AAAAAH+/vzA=")</f>
        <v>#VALUE!</v>
      </c>
      <c r="AX1" t="e">
        <f>AND(Fish!B2,"AAAAAH+/vzE=")</f>
        <v>#VALUE!</v>
      </c>
      <c r="AY1" t="e">
        <f>AND(Fish!C2,"AAAAAH+/vzI=")</f>
        <v>#VALUE!</v>
      </c>
      <c r="AZ1" t="e">
        <f>AND(Fish!D2,"AAAAAH+/vzM=")</f>
        <v>#VALUE!</v>
      </c>
      <c r="BA1" t="e">
        <f>AND(Fish!E2,"AAAAAH+/vzQ=")</f>
        <v>#VALUE!</v>
      </c>
      <c r="BB1" t="e">
        <f>AND(Fish!F2,"AAAAAH+/vzU=")</f>
        <v>#VALUE!</v>
      </c>
      <c r="BC1" t="e">
        <f>AND(Fish!G2,"AAAAAH+/vzY=")</f>
        <v>#VALUE!</v>
      </c>
      <c r="BD1" t="e">
        <f>AND(Fish!H2,"AAAAAH+/vzc=")</f>
        <v>#VALUE!</v>
      </c>
      <c r="BE1" t="e">
        <f>AND(Fish!I2,"AAAAAH+/vzg=")</f>
        <v>#VALUE!</v>
      </c>
      <c r="BF1" t="e">
        <f>AND(Fish!J2,"AAAAAH+/vzk=")</f>
        <v>#VALUE!</v>
      </c>
      <c r="BG1" t="e">
        <f>AND(Fish!K2,"AAAAAH+/vzo=")</f>
        <v>#VALUE!</v>
      </c>
      <c r="BH1">
        <f>IF(Fish!3:3,"AAAAAH+/vzs=",0)</f>
        <v>0</v>
      </c>
      <c r="BI1" t="e">
        <f>AND(Fish!A3,"AAAAAH+/vzw=")</f>
        <v>#VALUE!</v>
      </c>
      <c r="BJ1" t="e">
        <f>AND(Fish!B3,"AAAAAH+/vz0=")</f>
        <v>#VALUE!</v>
      </c>
      <c r="BK1" t="e">
        <f>AND(Fish!C3,"AAAAAH+/vz4=")</f>
        <v>#VALUE!</v>
      </c>
      <c r="BL1" t="e">
        <f>AND(Fish!D3,"AAAAAH+/vz8=")</f>
        <v>#VALUE!</v>
      </c>
      <c r="BM1" t="e">
        <f>AND(Fish!E3,"AAAAAH+/v0A=")</f>
        <v>#VALUE!</v>
      </c>
      <c r="BN1" t="e">
        <f>AND(Fish!F3,"AAAAAH+/v0E=")</f>
        <v>#VALUE!</v>
      </c>
      <c r="BO1" t="e">
        <f>AND(Fish!G3,"AAAAAH+/v0I=")</f>
        <v>#VALUE!</v>
      </c>
      <c r="BP1" t="e">
        <f>AND(Fish!H3,"AAAAAH+/v0M=")</f>
        <v>#VALUE!</v>
      </c>
      <c r="BQ1" t="e">
        <f>AND(Fish!I3,"AAAAAH+/v0Q=")</f>
        <v>#VALUE!</v>
      </c>
      <c r="BR1" t="e">
        <f>AND(Fish!J3,"AAAAAH+/v0U=")</f>
        <v>#VALUE!</v>
      </c>
      <c r="BS1" t="e">
        <f>AND(Fish!K3,"AAAAAH+/v0Y=")</f>
        <v>#VALUE!</v>
      </c>
      <c r="BT1">
        <f>IF(Fish!4:4,"AAAAAH+/v0c=",0)</f>
        <v>0</v>
      </c>
      <c r="BU1" t="e">
        <f>AND(Fish!A4,"AAAAAH+/v0g=")</f>
        <v>#VALUE!</v>
      </c>
      <c r="BV1" t="e">
        <f>AND(Fish!B4,"AAAAAH+/v0k=")</f>
        <v>#VALUE!</v>
      </c>
      <c r="BW1" t="e">
        <f>AND(Fish!C4,"AAAAAH+/v0o=")</f>
        <v>#VALUE!</v>
      </c>
      <c r="BX1" t="e">
        <f>AND(Fish!D4,"AAAAAH+/v0s=")</f>
        <v>#VALUE!</v>
      </c>
      <c r="BY1" t="e">
        <f>AND(Fish!E4,"AAAAAH+/v0w=")</f>
        <v>#VALUE!</v>
      </c>
      <c r="BZ1" t="e">
        <f>AND(Fish!F4,"AAAAAH+/v00=")</f>
        <v>#VALUE!</v>
      </c>
      <c r="CA1" t="e">
        <f>AND(Fish!G4,"AAAAAH+/v04=")</f>
        <v>#VALUE!</v>
      </c>
      <c r="CB1" t="e">
        <f>AND(Fish!H4,"AAAAAH+/v08=")</f>
        <v>#VALUE!</v>
      </c>
      <c r="CC1" t="e">
        <f>AND(Fish!I4,"AAAAAH+/v1A=")</f>
        <v>#VALUE!</v>
      </c>
      <c r="CD1" t="e">
        <f>AND(Fish!J4,"AAAAAH+/v1E=")</f>
        <v>#VALUE!</v>
      </c>
      <c r="CE1" t="e">
        <f>AND(Fish!K4,"AAAAAH+/v1I=")</f>
        <v>#VALUE!</v>
      </c>
      <c r="CF1">
        <f>IF(Fish!5:5,"AAAAAH+/v1M=",0)</f>
        <v>0</v>
      </c>
      <c r="CG1" t="e">
        <f>AND(Fish!A5,"AAAAAH+/v1Q=")</f>
        <v>#VALUE!</v>
      </c>
      <c r="CH1" t="e">
        <f>AND(Fish!B5,"AAAAAH+/v1U=")</f>
        <v>#VALUE!</v>
      </c>
      <c r="CI1" t="e">
        <f>AND(Fish!C5,"AAAAAH+/v1Y=")</f>
        <v>#VALUE!</v>
      </c>
      <c r="CJ1" t="e">
        <f>AND(Fish!D5,"AAAAAH+/v1c=")</f>
        <v>#VALUE!</v>
      </c>
      <c r="CK1" t="e">
        <f>AND(Fish!E5,"AAAAAH+/v1g=")</f>
        <v>#VALUE!</v>
      </c>
      <c r="CL1" t="e">
        <f>AND(Fish!F5,"AAAAAH+/v1k=")</f>
        <v>#VALUE!</v>
      </c>
      <c r="CM1" t="e">
        <f>AND(Fish!G5,"AAAAAH+/v1o=")</f>
        <v>#VALUE!</v>
      </c>
      <c r="CN1" t="e">
        <f>AND(Fish!H5,"AAAAAH+/v1s=")</f>
        <v>#VALUE!</v>
      </c>
      <c r="CO1" t="e">
        <f>AND(Fish!I5,"AAAAAH+/v1w=")</f>
        <v>#VALUE!</v>
      </c>
      <c r="CP1" t="e">
        <f>AND(Fish!J5,"AAAAAH+/v10=")</f>
        <v>#VALUE!</v>
      </c>
      <c r="CQ1" t="e">
        <f>AND(Fish!K5,"AAAAAH+/v14=")</f>
        <v>#VALUE!</v>
      </c>
      <c r="CR1">
        <f>IF(Fish!6:6,"AAAAAH+/v18=",0)</f>
        <v>0</v>
      </c>
      <c r="CS1" t="e">
        <f>AND(Fish!A6,"AAAAAH+/v2A=")</f>
        <v>#VALUE!</v>
      </c>
      <c r="CT1" t="e">
        <f>AND(Fish!B6,"AAAAAH+/v2E=")</f>
        <v>#VALUE!</v>
      </c>
      <c r="CU1" t="e">
        <f>AND(Fish!C6,"AAAAAH+/v2I=")</f>
        <v>#VALUE!</v>
      </c>
      <c r="CV1" t="e">
        <f>AND(Fish!D6,"AAAAAH+/v2M=")</f>
        <v>#VALUE!</v>
      </c>
      <c r="CW1" t="e">
        <f>AND(Fish!E6,"AAAAAH+/v2Q=")</f>
        <v>#VALUE!</v>
      </c>
      <c r="CX1" t="e">
        <f>AND(Fish!F6,"AAAAAH+/v2U=")</f>
        <v>#VALUE!</v>
      </c>
      <c r="CY1" t="e">
        <f>AND(Fish!G6,"AAAAAH+/v2Y=")</f>
        <v>#VALUE!</v>
      </c>
      <c r="CZ1" t="e">
        <f>AND(Fish!H6,"AAAAAH+/v2c=")</f>
        <v>#VALUE!</v>
      </c>
      <c r="DA1" t="e">
        <f>AND(Fish!I6,"AAAAAH+/v2g=")</f>
        <v>#VALUE!</v>
      </c>
      <c r="DB1" t="e">
        <f>AND(Fish!J6,"AAAAAH+/v2k=")</f>
        <v>#VALUE!</v>
      </c>
      <c r="DC1" t="e">
        <f>AND(Fish!K6,"AAAAAH+/v2o=")</f>
        <v>#VALUE!</v>
      </c>
      <c r="DD1">
        <f>IF(Fish!7:7,"AAAAAH+/v2s=",0)</f>
        <v>0</v>
      </c>
      <c r="DE1" t="e">
        <f>AND(Fish!A7,"AAAAAH+/v2w=")</f>
        <v>#VALUE!</v>
      </c>
      <c r="DF1" t="e">
        <f>AND(Fish!B7,"AAAAAH+/v20=")</f>
        <v>#VALUE!</v>
      </c>
      <c r="DG1" t="e">
        <f>AND(Fish!C7,"AAAAAH+/v24=")</f>
        <v>#VALUE!</v>
      </c>
      <c r="DH1" t="e">
        <f>AND(Fish!D7,"AAAAAH+/v28=")</f>
        <v>#VALUE!</v>
      </c>
      <c r="DI1" t="e">
        <f>AND(Fish!E7,"AAAAAH+/v3A=")</f>
        <v>#VALUE!</v>
      </c>
      <c r="DJ1" t="e">
        <f>AND(Fish!F7,"AAAAAH+/v3E=")</f>
        <v>#VALUE!</v>
      </c>
      <c r="DK1" t="e">
        <f>AND(Fish!G7,"AAAAAH+/v3I=")</f>
        <v>#VALUE!</v>
      </c>
      <c r="DL1" t="e">
        <f>AND(Fish!H7,"AAAAAH+/v3M=")</f>
        <v>#VALUE!</v>
      </c>
      <c r="DM1" t="e">
        <f>AND(Fish!I7,"AAAAAH+/v3Q=")</f>
        <v>#VALUE!</v>
      </c>
      <c r="DN1" t="e">
        <f>AND(Fish!J7,"AAAAAH+/v3U=")</f>
        <v>#VALUE!</v>
      </c>
      <c r="DO1" t="e">
        <f>AND(Fish!K7,"AAAAAH+/v3Y=")</f>
        <v>#VALUE!</v>
      </c>
      <c r="DP1">
        <f>IF(Fish!8:8,"AAAAAH+/v3c=",0)</f>
        <v>0</v>
      </c>
      <c r="DQ1" t="e">
        <f>AND(Fish!A8,"AAAAAH+/v3g=")</f>
        <v>#VALUE!</v>
      </c>
      <c r="DR1" t="e">
        <f>AND(Fish!B8,"AAAAAH+/v3k=")</f>
        <v>#VALUE!</v>
      </c>
      <c r="DS1" t="e">
        <f>AND(Fish!C8,"AAAAAH+/v3o=")</f>
        <v>#VALUE!</v>
      </c>
      <c r="DT1" t="e">
        <f>AND(Fish!D8,"AAAAAH+/v3s=")</f>
        <v>#VALUE!</v>
      </c>
      <c r="DU1" t="e">
        <f>AND(Fish!E8,"AAAAAH+/v3w=")</f>
        <v>#VALUE!</v>
      </c>
      <c r="DV1" t="e">
        <f>AND(Fish!F8,"AAAAAH+/v30=")</f>
        <v>#VALUE!</v>
      </c>
      <c r="DW1" t="e">
        <f>AND(Fish!G8,"AAAAAH+/v34=")</f>
        <v>#VALUE!</v>
      </c>
      <c r="DX1" t="e">
        <f>AND(Fish!H8,"AAAAAH+/v38=")</f>
        <v>#VALUE!</v>
      </c>
      <c r="DY1" t="e">
        <f>AND(Fish!I8,"AAAAAH+/v4A=")</f>
        <v>#VALUE!</v>
      </c>
      <c r="DZ1" t="e">
        <f>AND(Fish!J8,"AAAAAH+/v4E=")</f>
        <v>#VALUE!</v>
      </c>
      <c r="EA1" t="e">
        <f>AND(Fish!K8,"AAAAAH+/v4I=")</f>
        <v>#VALUE!</v>
      </c>
      <c r="EB1">
        <f>IF(Fish!9:9,"AAAAAH+/v4M=",0)</f>
        <v>0</v>
      </c>
      <c r="EC1" t="e">
        <f>AND(Fish!A9,"AAAAAH+/v4Q=")</f>
        <v>#VALUE!</v>
      </c>
      <c r="ED1" t="e">
        <f>AND(Fish!B9,"AAAAAH+/v4U=")</f>
        <v>#VALUE!</v>
      </c>
      <c r="EE1" t="e">
        <f>AND(Fish!C9,"AAAAAH+/v4Y=")</f>
        <v>#VALUE!</v>
      </c>
      <c r="EF1" t="e">
        <f>AND(Fish!D9,"AAAAAH+/v4c=")</f>
        <v>#VALUE!</v>
      </c>
      <c r="EG1" t="e">
        <f>AND(Fish!E9,"AAAAAH+/v4g=")</f>
        <v>#VALUE!</v>
      </c>
      <c r="EH1" t="e">
        <f>AND(Fish!F9,"AAAAAH+/v4k=")</f>
        <v>#VALUE!</v>
      </c>
      <c r="EI1" t="e">
        <f>AND(Fish!G9,"AAAAAH+/v4o=")</f>
        <v>#VALUE!</v>
      </c>
      <c r="EJ1" t="e">
        <f>AND(Fish!H9,"AAAAAH+/v4s=")</f>
        <v>#VALUE!</v>
      </c>
      <c r="EK1" t="e">
        <f>AND(Fish!I9,"AAAAAH+/v4w=")</f>
        <v>#VALUE!</v>
      </c>
      <c r="EL1" t="e">
        <f>AND(Fish!J9,"AAAAAH+/v40=")</f>
        <v>#VALUE!</v>
      </c>
      <c r="EM1" t="e">
        <f>AND(Fish!K9,"AAAAAH+/v44=")</f>
        <v>#VALUE!</v>
      </c>
      <c r="EN1">
        <f>IF(Fish!10:10,"AAAAAH+/v48=",0)</f>
        <v>0</v>
      </c>
      <c r="EO1" t="e">
        <f>AND(Fish!A10,"AAAAAH+/v5A=")</f>
        <v>#VALUE!</v>
      </c>
      <c r="EP1" t="e">
        <f>AND(Fish!B10,"AAAAAH+/v5E=")</f>
        <v>#VALUE!</v>
      </c>
      <c r="EQ1" t="e">
        <f>AND(Fish!C10,"AAAAAH+/v5I=")</f>
        <v>#VALUE!</v>
      </c>
      <c r="ER1" t="e">
        <f>AND(Fish!D10,"AAAAAH+/v5M=")</f>
        <v>#VALUE!</v>
      </c>
      <c r="ES1" t="e">
        <f>AND(Fish!E10,"AAAAAH+/v5Q=")</f>
        <v>#VALUE!</v>
      </c>
      <c r="ET1" t="e">
        <f>AND(Fish!F10,"AAAAAH+/v5U=")</f>
        <v>#VALUE!</v>
      </c>
      <c r="EU1" t="e">
        <f>AND(Fish!G10,"AAAAAH+/v5Y=")</f>
        <v>#VALUE!</v>
      </c>
      <c r="EV1" t="e">
        <f>AND(Fish!H10,"AAAAAH+/v5c=")</f>
        <v>#VALUE!</v>
      </c>
      <c r="EW1" t="e">
        <f>AND(Fish!I10,"AAAAAH+/v5g=")</f>
        <v>#VALUE!</v>
      </c>
      <c r="EX1" t="e">
        <f>AND(Fish!J10,"AAAAAH+/v5k=")</f>
        <v>#VALUE!</v>
      </c>
      <c r="EY1" t="e">
        <f>AND(Fish!K10,"AAAAAH+/v5o=")</f>
        <v>#VALUE!</v>
      </c>
      <c r="EZ1">
        <f>IF(Fish!11:11,"AAAAAH+/v5s=",0)</f>
        <v>0</v>
      </c>
      <c r="FA1" t="e">
        <f>AND(Fish!A11,"AAAAAH+/v5w=")</f>
        <v>#VALUE!</v>
      </c>
      <c r="FB1" t="e">
        <f>AND(Fish!B11,"AAAAAH+/v50=")</f>
        <v>#VALUE!</v>
      </c>
      <c r="FC1" t="e">
        <f>AND(Fish!C11,"AAAAAH+/v54=")</f>
        <v>#VALUE!</v>
      </c>
      <c r="FD1" t="e">
        <f>AND(Fish!D11,"AAAAAH+/v58=")</f>
        <v>#VALUE!</v>
      </c>
      <c r="FE1" t="e">
        <f>AND(Fish!E11,"AAAAAH+/v6A=")</f>
        <v>#VALUE!</v>
      </c>
      <c r="FF1" t="e">
        <f>AND(Fish!F11,"AAAAAH+/v6E=")</f>
        <v>#VALUE!</v>
      </c>
      <c r="FG1" t="e">
        <f>AND(Fish!G11,"AAAAAH+/v6I=")</f>
        <v>#VALUE!</v>
      </c>
      <c r="FH1" t="e">
        <f>AND(Fish!H11,"AAAAAH+/v6M=")</f>
        <v>#VALUE!</v>
      </c>
      <c r="FI1" t="e">
        <f>AND(Fish!I11,"AAAAAH+/v6Q=")</f>
        <v>#VALUE!</v>
      </c>
      <c r="FJ1" t="e">
        <f>AND(Fish!J11,"AAAAAH+/v6U=")</f>
        <v>#VALUE!</v>
      </c>
      <c r="FK1" t="e">
        <f>AND(Fish!K11,"AAAAAH+/v6Y=")</f>
        <v>#VALUE!</v>
      </c>
      <c r="FL1">
        <f>IF(Fish!12:12,"AAAAAH+/v6c=",0)</f>
        <v>0</v>
      </c>
      <c r="FM1" t="e">
        <f>AND(Fish!A12,"AAAAAH+/v6g=")</f>
        <v>#VALUE!</v>
      </c>
      <c r="FN1" t="e">
        <f>AND(Fish!B12,"AAAAAH+/v6k=")</f>
        <v>#VALUE!</v>
      </c>
      <c r="FO1" t="e">
        <f>AND(Fish!C12,"AAAAAH+/v6o=")</f>
        <v>#VALUE!</v>
      </c>
      <c r="FP1" t="e">
        <f>AND(Fish!D12,"AAAAAH+/v6s=")</f>
        <v>#VALUE!</v>
      </c>
      <c r="FQ1" t="e">
        <f>AND(Fish!E12,"AAAAAH+/v6w=")</f>
        <v>#VALUE!</v>
      </c>
      <c r="FR1" t="e">
        <f>AND(Fish!F12,"AAAAAH+/v60=")</f>
        <v>#VALUE!</v>
      </c>
      <c r="FS1" t="e">
        <f>AND(Fish!G12,"AAAAAH+/v64=")</f>
        <v>#VALUE!</v>
      </c>
      <c r="FT1" t="e">
        <f>AND(Fish!H12,"AAAAAH+/v68=")</f>
        <v>#VALUE!</v>
      </c>
      <c r="FU1" t="e">
        <f>AND(Fish!I12,"AAAAAH+/v7A=")</f>
        <v>#VALUE!</v>
      </c>
      <c r="FV1" t="e">
        <f>AND(Fish!J12,"AAAAAH+/v7E=")</f>
        <v>#VALUE!</v>
      </c>
      <c r="FW1" t="e">
        <f>AND(Fish!K12,"AAAAAH+/v7I=")</f>
        <v>#VALUE!</v>
      </c>
      <c r="FX1">
        <f>IF(Fish!13:13,"AAAAAH+/v7M=",0)</f>
        <v>0</v>
      </c>
      <c r="FY1" t="e">
        <f>AND(Fish!A13,"AAAAAH+/v7Q=")</f>
        <v>#VALUE!</v>
      </c>
      <c r="FZ1" t="e">
        <f>AND(Fish!B13,"AAAAAH+/v7U=")</f>
        <v>#VALUE!</v>
      </c>
      <c r="GA1" t="e">
        <f>AND(Fish!C13,"AAAAAH+/v7Y=")</f>
        <v>#VALUE!</v>
      </c>
      <c r="GB1" t="e">
        <f>AND(Fish!D13,"AAAAAH+/v7c=")</f>
        <v>#VALUE!</v>
      </c>
      <c r="GC1" t="e">
        <f>AND(Fish!E13,"AAAAAH+/v7g=")</f>
        <v>#VALUE!</v>
      </c>
      <c r="GD1" t="e">
        <f>AND(Fish!F13,"AAAAAH+/v7k=")</f>
        <v>#VALUE!</v>
      </c>
      <c r="GE1" t="e">
        <f>AND(Fish!G13,"AAAAAH+/v7o=")</f>
        <v>#VALUE!</v>
      </c>
      <c r="GF1" t="e">
        <f>AND(Fish!H13,"AAAAAH+/v7s=")</f>
        <v>#VALUE!</v>
      </c>
      <c r="GG1" t="e">
        <f>AND(Fish!I13,"AAAAAH+/v7w=")</f>
        <v>#VALUE!</v>
      </c>
      <c r="GH1" t="e">
        <f>AND(Fish!J13,"AAAAAH+/v70=")</f>
        <v>#VALUE!</v>
      </c>
      <c r="GI1" t="e">
        <f>AND(Fish!K13,"AAAAAH+/v74=")</f>
        <v>#VALUE!</v>
      </c>
      <c r="GJ1">
        <f>IF(Fish!14:14,"AAAAAH+/v78=",0)</f>
        <v>0</v>
      </c>
      <c r="GK1" t="e">
        <f>AND(Fish!A14,"AAAAAH+/v8A=")</f>
        <v>#VALUE!</v>
      </c>
      <c r="GL1" t="e">
        <f>AND(Fish!B14,"AAAAAH+/v8E=")</f>
        <v>#VALUE!</v>
      </c>
      <c r="GM1" t="e">
        <f>AND(Fish!C14,"AAAAAH+/v8I=")</f>
        <v>#VALUE!</v>
      </c>
      <c r="GN1" t="e">
        <f>AND(Fish!D14,"AAAAAH+/v8M=")</f>
        <v>#VALUE!</v>
      </c>
      <c r="GO1" t="e">
        <f>AND(Fish!E14,"AAAAAH+/v8Q=")</f>
        <v>#VALUE!</v>
      </c>
      <c r="GP1" t="e">
        <f>AND(Fish!F14,"AAAAAH+/v8U=")</f>
        <v>#VALUE!</v>
      </c>
      <c r="GQ1" t="e">
        <f>AND(Fish!G14,"AAAAAH+/v8Y=")</f>
        <v>#VALUE!</v>
      </c>
      <c r="GR1" t="e">
        <f>AND(Fish!H14,"AAAAAH+/v8c=")</f>
        <v>#VALUE!</v>
      </c>
      <c r="GS1" t="e">
        <f>AND(Fish!I14,"AAAAAH+/v8g=")</f>
        <v>#VALUE!</v>
      </c>
      <c r="GT1" t="e">
        <f>AND(Fish!J14,"AAAAAH+/v8k=")</f>
        <v>#VALUE!</v>
      </c>
      <c r="GU1" t="e">
        <f>AND(Fish!K14,"AAAAAH+/v8o=")</f>
        <v>#VALUE!</v>
      </c>
      <c r="GV1">
        <f>IF(Fish!15:15,"AAAAAH+/v8s=",0)</f>
        <v>0</v>
      </c>
      <c r="GW1" t="e">
        <f>AND(Fish!A15,"AAAAAH+/v8w=")</f>
        <v>#VALUE!</v>
      </c>
      <c r="GX1" t="e">
        <f>AND(Fish!B15,"AAAAAH+/v80=")</f>
        <v>#VALUE!</v>
      </c>
      <c r="GY1" t="e">
        <f>AND(Fish!C15,"AAAAAH+/v84=")</f>
        <v>#VALUE!</v>
      </c>
      <c r="GZ1" t="e">
        <f>AND(Fish!D15,"AAAAAH+/v88=")</f>
        <v>#VALUE!</v>
      </c>
      <c r="HA1" t="e">
        <f>AND(Fish!E15,"AAAAAH+/v9A=")</f>
        <v>#VALUE!</v>
      </c>
      <c r="HB1" t="e">
        <f>AND(Fish!F15,"AAAAAH+/v9E=")</f>
        <v>#VALUE!</v>
      </c>
      <c r="HC1" t="e">
        <f>AND(Fish!G15,"AAAAAH+/v9I=")</f>
        <v>#VALUE!</v>
      </c>
      <c r="HD1" t="e">
        <f>AND(Fish!H15,"AAAAAH+/v9M=")</f>
        <v>#VALUE!</v>
      </c>
      <c r="HE1" t="e">
        <f>AND(Fish!I15,"AAAAAH+/v9Q=")</f>
        <v>#VALUE!</v>
      </c>
      <c r="HF1" t="e">
        <f>AND(Fish!J15,"AAAAAH+/v9U=")</f>
        <v>#VALUE!</v>
      </c>
      <c r="HG1" t="e">
        <f>AND(Fish!K15,"AAAAAH+/v9Y=")</f>
        <v>#VALUE!</v>
      </c>
      <c r="HH1">
        <f>IF(Fish!16:16,"AAAAAH+/v9c=",0)</f>
        <v>0</v>
      </c>
      <c r="HI1" t="e">
        <f>AND(Fish!A16,"AAAAAH+/v9g=")</f>
        <v>#VALUE!</v>
      </c>
      <c r="HJ1" t="e">
        <f>AND(Fish!B16,"AAAAAH+/v9k=")</f>
        <v>#VALUE!</v>
      </c>
      <c r="HK1" t="e">
        <f>AND(Fish!C16,"AAAAAH+/v9o=")</f>
        <v>#VALUE!</v>
      </c>
      <c r="HL1" t="e">
        <f>AND(Fish!D16,"AAAAAH+/v9s=")</f>
        <v>#VALUE!</v>
      </c>
      <c r="HM1" t="e">
        <f>AND(Fish!E16,"AAAAAH+/v9w=")</f>
        <v>#VALUE!</v>
      </c>
      <c r="HN1" t="e">
        <f>AND(Fish!F16,"AAAAAH+/v90=")</f>
        <v>#VALUE!</v>
      </c>
      <c r="HO1" t="e">
        <f>AND(Fish!G16,"AAAAAH+/v94=")</f>
        <v>#VALUE!</v>
      </c>
      <c r="HP1" t="e">
        <f>AND(Fish!H16,"AAAAAH+/v98=")</f>
        <v>#VALUE!</v>
      </c>
      <c r="HQ1" t="e">
        <f>AND(Fish!I16,"AAAAAH+/v+A=")</f>
        <v>#VALUE!</v>
      </c>
      <c r="HR1" t="e">
        <f>AND(Fish!J16,"AAAAAH+/v+E=")</f>
        <v>#VALUE!</v>
      </c>
      <c r="HS1" t="e">
        <f>AND(Fish!K16,"AAAAAH+/v+I=")</f>
        <v>#VALUE!</v>
      </c>
      <c r="HT1">
        <f>IF(Fish!17:17,"AAAAAH+/v+M=",0)</f>
        <v>0</v>
      </c>
      <c r="HU1" t="e">
        <f>AND(Fish!A17,"AAAAAH+/v+Q=")</f>
        <v>#VALUE!</v>
      </c>
      <c r="HV1" t="e">
        <f>AND(Fish!B17,"AAAAAH+/v+U=")</f>
        <v>#VALUE!</v>
      </c>
      <c r="HW1" t="e">
        <f>AND(Fish!C17,"AAAAAH+/v+Y=")</f>
        <v>#VALUE!</v>
      </c>
      <c r="HX1" t="e">
        <f>AND(Fish!D17,"AAAAAH+/v+c=")</f>
        <v>#VALUE!</v>
      </c>
      <c r="HY1" t="e">
        <f>AND(Fish!E17,"AAAAAH+/v+g=")</f>
        <v>#VALUE!</v>
      </c>
      <c r="HZ1" t="e">
        <f>AND(Fish!F17,"AAAAAH+/v+k=")</f>
        <v>#VALUE!</v>
      </c>
      <c r="IA1" t="e">
        <f>AND(Fish!G17,"AAAAAH+/v+o=")</f>
        <v>#VALUE!</v>
      </c>
      <c r="IB1" t="e">
        <f>AND(Fish!H17,"AAAAAH+/v+s=")</f>
        <v>#VALUE!</v>
      </c>
      <c r="IC1" t="e">
        <f>AND(Fish!I17,"AAAAAH+/v+w=")</f>
        <v>#VALUE!</v>
      </c>
      <c r="ID1" t="e">
        <f>AND(Fish!J17,"AAAAAH+/v+0=")</f>
        <v>#VALUE!</v>
      </c>
      <c r="IE1" t="e">
        <f>AND(Fish!K17,"AAAAAH+/v+4=")</f>
        <v>#VALUE!</v>
      </c>
      <c r="IF1">
        <f>IF(Fish!18:18,"AAAAAH+/v+8=",0)</f>
        <v>0</v>
      </c>
      <c r="IG1" t="e">
        <f>AND(Fish!A18,"AAAAAH+/v/A=")</f>
        <v>#VALUE!</v>
      </c>
      <c r="IH1" t="e">
        <f>AND(Fish!B18,"AAAAAH+/v/E=")</f>
        <v>#VALUE!</v>
      </c>
      <c r="II1" t="e">
        <f>AND(Fish!C18,"AAAAAH+/v/I=")</f>
        <v>#VALUE!</v>
      </c>
      <c r="IJ1" t="e">
        <f>AND(Fish!D18,"AAAAAH+/v/M=")</f>
        <v>#VALUE!</v>
      </c>
      <c r="IK1" t="e">
        <f>AND(Fish!E18,"AAAAAH+/v/Q=")</f>
        <v>#VALUE!</v>
      </c>
      <c r="IL1" t="e">
        <f>AND(Fish!F18,"AAAAAH+/v/U=")</f>
        <v>#VALUE!</v>
      </c>
      <c r="IM1" t="e">
        <f>AND(Fish!G18,"AAAAAH+/v/Y=")</f>
        <v>#VALUE!</v>
      </c>
      <c r="IN1" t="e">
        <f>AND(Fish!H18,"AAAAAH+/v/c=")</f>
        <v>#VALUE!</v>
      </c>
      <c r="IO1" t="e">
        <f>AND(Fish!I18,"AAAAAH+/v/g=")</f>
        <v>#VALUE!</v>
      </c>
      <c r="IP1" t="e">
        <f>AND(Fish!J18,"AAAAAH+/v/k=")</f>
        <v>#VALUE!</v>
      </c>
      <c r="IQ1" t="e">
        <f>AND(Fish!K18,"AAAAAH+/v/o=")</f>
        <v>#VALUE!</v>
      </c>
      <c r="IR1">
        <f>IF(Fish!19:19,"AAAAAH+/v/s=",0)</f>
        <v>0</v>
      </c>
      <c r="IS1" t="e">
        <f>AND(Fish!A19,"AAAAAH+/v/w=")</f>
        <v>#VALUE!</v>
      </c>
      <c r="IT1" t="e">
        <f>AND(Fish!B19,"AAAAAH+/v/0=")</f>
        <v>#VALUE!</v>
      </c>
      <c r="IU1" t="e">
        <f>AND(Fish!C19,"AAAAAH+/v/4=")</f>
        <v>#VALUE!</v>
      </c>
      <c r="IV1" t="e">
        <f>AND(Fish!D19,"AAAAAH+/v/8=")</f>
        <v>#VALUE!</v>
      </c>
    </row>
    <row r="2" spans="1:256">
      <c r="A2" t="e">
        <f>AND(Fish!E19,"AAAAADv6rwA=")</f>
        <v>#VALUE!</v>
      </c>
      <c r="B2" t="e">
        <f>AND(Fish!F19,"AAAAADv6rwE=")</f>
        <v>#VALUE!</v>
      </c>
      <c r="C2" t="e">
        <f>AND(Fish!G19,"AAAAADv6rwI=")</f>
        <v>#VALUE!</v>
      </c>
      <c r="D2" t="e">
        <f>AND(Fish!H19,"AAAAADv6rwM=")</f>
        <v>#VALUE!</v>
      </c>
      <c r="E2" t="e">
        <f>AND(Fish!I19,"AAAAADv6rwQ=")</f>
        <v>#VALUE!</v>
      </c>
      <c r="F2" t="e">
        <f>AND(Fish!J19,"AAAAADv6rwU=")</f>
        <v>#VALUE!</v>
      </c>
      <c r="G2" t="e">
        <f>AND(Fish!K19,"AAAAADv6rwY=")</f>
        <v>#VALUE!</v>
      </c>
      <c r="H2" t="e">
        <f>IF(Fish!20:20,"AAAAADv6rwc=",0)</f>
        <v>#VALUE!</v>
      </c>
      <c r="I2" t="e">
        <f>AND(Fish!A20,"AAAAADv6rwg=")</f>
        <v>#VALUE!</v>
      </c>
      <c r="J2" t="e">
        <f>AND(Fish!B20,"AAAAADv6rwk=")</f>
        <v>#VALUE!</v>
      </c>
      <c r="K2" t="e">
        <f>AND(Fish!C20,"AAAAADv6rwo=")</f>
        <v>#VALUE!</v>
      </c>
      <c r="L2" t="e">
        <f>AND(Fish!D20,"AAAAADv6rws=")</f>
        <v>#VALUE!</v>
      </c>
      <c r="M2" t="e">
        <f>AND(Fish!E20,"AAAAADv6rww=")</f>
        <v>#VALUE!</v>
      </c>
      <c r="N2" t="e">
        <f>AND(Fish!F20,"AAAAADv6rw0=")</f>
        <v>#VALUE!</v>
      </c>
      <c r="O2" t="e">
        <f>AND(Fish!G20,"AAAAADv6rw4=")</f>
        <v>#VALUE!</v>
      </c>
      <c r="P2" t="e">
        <f>AND(Fish!H20,"AAAAADv6rw8=")</f>
        <v>#VALUE!</v>
      </c>
      <c r="Q2" t="e">
        <f>AND(Fish!I20,"AAAAADv6rxA=")</f>
        <v>#VALUE!</v>
      </c>
      <c r="R2" t="e">
        <f>AND(Fish!J20,"AAAAADv6rxE=")</f>
        <v>#VALUE!</v>
      </c>
      <c r="S2" t="e">
        <f>AND(Fish!K20,"AAAAADv6rxI=")</f>
        <v>#VALUE!</v>
      </c>
      <c r="T2">
        <f>IF(Fish!21:21,"AAAAADv6rxM=",0)</f>
        <v>0</v>
      </c>
      <c r="U2" t="e">
        <f>AND(Fish!A21,"AAAAADv6rxQ=")</f>
        <v>#VALUE!</v>
      </c>
      <c r="V2" t="e">
        <f>AND(Fish!B21,"AAAAADv6rxU=")</f>
        <v>#VALUE!</v>
      </c>
      <c r="W2" t="e">
        <f>AND(Fish!C21,"AAAAADv6rxY=")</f>
        <v>#VALUE!</v>
      </c>
      <c r="X2" t="e">
        <f>AND(Fish!D21,"AAAAADv6rxc=")</f>
        <v>#VALUE!</v>
      </c>
      <c r="Y2" t="e">
        <f>AND(Fish!E21,"AAAAADv6rxg=")</f>
        <v>#VALUE!</v>
      </c>
      <c r="Z2" t="e">
        <f>AND(Fish!F21,"AAAAADv6rxk=")</f>
        <v>#VALUE!</v>
      </c>
      <c r="AA2" t="e">
        <f>AND(Fish!G21,"AAAAADv6rxo=")</f>
        <v>#VALUE!</v>
      </c>
      <c r="AB2" t="e">
        <f>AND(Fish!H21,"AAAAADv6rxs=")</f>
        <v>#VALUE!</v>
      </c>
      <c r="AC2" t="e">
        <f>AND(Fish!I21,"AAAAADv6rxw=")</f>
        <v>#VALUE!</v>
      </c>
      <c r="AD2" t="e">
        <f>AND(Fish!J21,"AAAAADv6rx0=")</f>
        <v>#VALUE!</v>
      </c>
      <c r="AE2" t="e">
        <f>AND(Fish!K21,"AAAAADv6rx4=")</f>
        <v>#VALUE!</v>
      </c>
      <c r="AF2">
        <f>IF(Fish!22:22,"AAAAADv6rx8=",0)</f>
        <v>0</v>
      </c>
      <c r="AG2" t="e">
        <f>AND(Fish!A22,"AAAAADv6ryA=")</f>
        <v>#VALUE!</v>
      </c>
      <c r="AH2" t="e">
        <f>AND(Fish!B22,"AAAAADv6ryE=")</f>
        <v>#VALUE!</v>
      </c>
      <c r="AI2" t="e">
        <f>AND(Fish!C22,"AAAAADv6ryI=")</f>
        <v>#VALUE!</v>
      </c>
      <c r="AJ2" t="e">
        <f>AND(Fish!D22,"AAAAADv6ryM=")</f>
        <v>#VALUE!</v>
      </c>
      <c r="AK2" t="e">
        <f>AND(Fish!E22,"AAAAADv6ryQ=")</f>
        <v>#VALUE!</v>
      </c>
      <c r="AL2" t="e">
        <f>AND(Fish!F22,"AAAAADv6ryU=")</f>
        <v>#VALUE!</v>
      </c>
      <c r="AM2" t="e">
        <f>AND(Fish!G22,"AAAAADv6ryY=")</f>
        <v>#VALUE!</v>
      </c>
      <c r="AN2" t="e">
        <f>AND(Fish!H22,"AAAAADv6ryc=")</f>
        <v>#VALUE!</v>
      </c>
      <c r="AO2" t="e">
        <f>AND(Fish!I22,"AAAAADv6ryg=")</f>
        <v>#VALUE!</v>
      </c>
      <c r="AP2" t="e">
        <f>AND(Fish!J22,"AAAAADv6ryk=")</f>
        <v>#VALUE!</v>
      </c>
      <c r="AQ2" t="e">
        <f>AND(Fish!K22,"AAAAADv6ryo=")</f>
        <v>#VALUE!</v>
      </c>
      <c r="AR2">
        <f>IF(Fish!23:23,"AAAAADv6rys=",0)</f>
        <v>0</v>
      </c>
      <c r="AS2" t="e">
        <f>AND(Fish!A23,"AAAAADv6ryw=")</f>
        <v>#VALUE!</v>
      </c>
      <c r="AT2" t="e">
        <f>AND(Fish!B23,"AAAAADv6ry0=")</f>
        <v>#VALUE!</v>
      </c>
      <c r="AU2" t="e">
        <f>AND(Fish!C23,"AAAAADv6ry4=")</f>
        <v>#VALUE!</v>
      </c>
      <c r="AV2" t="e">
        <f>AND(Fish!D23,"AAAAADv6ry8=")</f>
        <v>#VALUE!</v>
      </c>
      <c r="AW2" t="e">
        <f>AND(Fish!E23,"AAAAADv6rzA=")</f>
        <v>#VALUE!</v>
      </c>
      <c r="AX2" t="e">
        <f>AND(Fish!F23,"AAAAADv6rzE=")</f>
        <v>#VALUE!</v>
      </c>
      <c r="AY2" t="e">
        <f>AND(Fish!G23,"AAAAADv6rzI=")</f>
        <v>#VALUE!</v>
      </c>
      <c r="AZ2" t="e">
        <f>AND(Fish!H23,"AAAAADv6rzM=")</f>
        <v>#VALUE!</v>
      </c>
      <c r="BA2" t="e">
        <f>AND(Fish!I23,"AAAAADv6rzQ=")</f>
        <v>#VALUE!</v>
      </c>
      <c r="BB2" t="e">
        <f>AND(Fish!J23,"AAAAADv6rzU=")</f>
        <v>#VALUE!</v>
      </c>
      <c r="BC2" t="e">
        <f>AND(Fish!K23,"AAAAADv6rzY=")</f>
        <v>#VALUE!</v>
      </c>
      <c r="BD2">
        <f>IF(Fish!24:24,"AAAAADv6rzc=",0)</f>
        <v>0</v>
      </c>
      <c r="BE2" t="e">
        <f>AND(Fish!A24,"AAAAADv6rzg=")</f>
        <v>#VALUE!</v>
      </c>
      <c r="BF2" t="e">
        <f>AND(Fish!B24,"AAAAADv6rzk=")</f>
        <v>#VALUE!</v>
      </c>
      <c r="BG2">
        <f>IF(Fish!25:25,"AAAAADv6rzo=",0)</f>
        <v>0</v>
      </c>
      <c r="BH2" t="e">
        <f>AND(Fish!A25,"AAAAADv6rzs=")</f>
        <v>#VALUE!</v>
      </c>
      <c r="BI2" t="e">
        <f>AND(Fish!B25,"AAAAADv6rzw=")</f>
        <v>#VALUE!</v>
      </c>
      <c r="BJ2" t="e">
        <f>IF(Fish!A:A,"AAAAADv6rz0=",0)</f>
        <v>#VALUE!</v>
      </c>
      <c r="BK2" t="e">
        <f>IF(Fish!B:B,"AAAAADv6rz4=",0)</f>
        <v>#VALUE!</v>
      </c>
      <c r="BL2" t="e">
        <f>IF(Fish!C:C,"AAAAADv6rz8=",0)</f>
        <v>#VALUE!</v>
      </c>
      <c r="BM2" t="e">
        <f>IF(Fish!D:D,"AAAAADv6r0A=",0)</f>
        <v>#VALUE!</v>
      </c>
      <c r="BN2" t="e">
        <f>IF(Fish!E:E,"AAAAADv6r0E=",0)</f>
        <v>#VALUE!</v>
      </c>
      <c r="BO2" t="e">
        <f>IF(Fish!F:F,"AAAAADv6r0I=",0)</f>
        <v>#VALUE!</v>
      </c>
      <c r="BP2" t="e">
        <f>IF(Fish!G:G,"AAAAADv6r0M=",0)</f>
        <v>#VALUE!</v>
      </c>
      <c r="BQ2" t="e">
        <f>IF(Fish!H:H,"AAAAADv6r0Q=",0)</f>
        <v>#VALUE!</v>
      </c>
      <c r="BR2" t="e">
        <f>IF(Fish!I:I,"AAAAADv6r0U=",0)</f>
        <v>#VALUE!</v>
      </c>
      <c r="BS2" t="e">
        <f>IF(Fish!J:J,"AAAAADv6r0Y=",0)</f>
        <v>#VALUE!</v>
      </c>
      <c r="BT2" t="e">
        <f>IF(Fish!K:K,"AAAAADv6r0c=",0)</f>
        <v>#VALUE!</v>
      </c>
      <c r="BU2">
        <f>IF('Water Quality'!1:1,"AAAAADv6r0g=",0)</f>
        <v>0</v>
      </c>
      <c r="BV2" t="e">
        <f>AND('Water Quality'!A1,"AAAAADv6r0k=")</f>
        <v>#VALUE!</v>
      </c>
      <c r="BW2">
        <f>IF('Water Quality'!A:A,"AAAAADv6r0o=",0)</f>
        <v>0</v>
      </c>
      <c r="BX2">
        <f>IF(Mammals!1:1,"AAAAADv6r0s=",0)</f>
        <v>0</v>
      </c>
      <c r="BY2" t="e">
        <f>AND(Mammals!A1,"AAAAADv6r0w=")</f>
        <v>#VALUE!</v>
      </c>
      <c r="BZ2" t="e">
        <f>AND(Mammals!B1,"AAAAADv6r00=")</f>
        <v>#VALUE!</v>
      </c>
      <c r="CA2" t="e">
        <f>AND(Mammals!C1,"AAAAADv6r04=")</f>
        <v>#VALUE!</v>
      </c>
      <c r="CB2" t="e">
        <f>AND(Mammals!D1,"AAAAADv6r08=")</f>
        <v>#VALUE!</v>
      </c>
      <c r="CC2" t="e">
        <f>AND(Mammals!E1,"AAAAADv6r1A=")</f>
        <v>#VALUE!</v>
      </c>
      <c r="CD2" t="e">
        <f>AND(Mammals!F1,"AAAAADv6r1E=")</f>
        <v>#VALUE!</v>
      </c>
      <c r="CE2" t="e">
        <f>AND(Mammals!G1,"AAAAADv6r1I=")</f>
        <v>#VALUE!</v>
      </c>
      <c r="CF2" t="e">
        <f>AND(Mammals!H1,"AAAAADv6r1M=")</f>
        <v>#VALUE!</v>
      </c>
      <c r="CG2" t="e">
        <f>AND(Mammals!I1,"AAAAADv6r1Q=")</f>
        <v>#VALUE!</v>
      </c>
      <c r="CH2" t="e">
        <f>AND(Mammals!J1,"AAAAADv6r1U=")</f>
        <v>#VALUE!</v>
      </c>
      <c r="CI2" t="e">
        <f>AND(Mammals!K1,"AAAAADv6r1Y=")</f>
        <v>#VALUE!</v>
      </c>
      <c r="CJ2" t="e">
        <f>AND(Mammals!L1,"AAAAADv6r1c=")</f>
        <v>#VALUE!</v>
      </c>
      <c r="CK2" t="e">
        <f>AND(Mammals!M1,"AAAAADv6r1g=")</f>
        <v>#VALUE!</v>
      </c>
      <c r="CL2" t="e">
        <f>AND(Mammals!N1,"AAAAADv6r1k=")</f>
        <v>#VALUE!</v>
      </c>
      <c r="CM2" t="e">
        <f>AND(Mammals!O1,"AAAAADv6r1o=")</f>
        <v>#VALUE!</v>
      </c>
      <c r="CN2" t="e">
        <f>AND(Mammals!P1,"AAAAADv6r1s=")</f>
        <v>#VALUE!</v>
      </c>
      <c r="CO2" t="e">
        <f>AND(Mammals!Q1,"AAAAADv6r1w=")</f>
        <v>#VALUE!</v>
      </c>
      <c r="CP2" t="e">
        <f>AND(Mammals!R1,"AAAAADv6r10=")</f>
        <v>#VALUE!</v>
      </c>
      <c r="CQ2" t="e">
        <f>AND(Mammals!S1,"AAAAADv6r14=")</f>
        <v>#VALUE!</v>
      </c>
      <c r="CR2" t="e">
        <f>AND(Mammals!T1,"AAAAADv6r18=")</f>
        <v>#VALUE!</v>
      </c>
      <c r="CS2" t="e">
        <f>AND(Mammals!U1,"AAAAADv6r2A=")</f>
        <v>#VALUE!</v>
      </c>
      <c r="CT2" t="e">
        <f>AND(Mammals!V1,"AAAAADv6r2E=")</f>
        <v>#VALUE!</v>
      </c>
      <c r="CU2" t="e">
        <f>AND(Mammals!W1,"AAAAADv6r2I=")</f>
        <v>#VALUE!</v>
      </c>
      <c r="CV2" t="e">
        <f>AND(Mammals!X1,"AAAAADv6r2M=")</f>
        <v>#VALUE!</v>
      </c>
      <c r="CW2" t="e">
        <f>AND(Mammals!Y1,"AAAAADv6r2Q=")</f>
        <v>#VALUE!</v>
      </c>
      <c r="CX2" t="e">
        <f>AND(Mammals!Z1,"AAAAADv6r2U=")</f>
        <v>#VALUE!</v>
      </c>
      <c r="CY2" t="e">
        <f>AND(Mammals!AA1,"AAAAADv6r2Y=")</f>
        <v>#VALUE!</v>
      </c>
      <c r="CZ2" t="e">
        <f>AND(Mammals!AB1,"AAAAADv6r2c=")</f>
        <v>#VALUE!</v>
      </c>
      <c r="DA2" t="e">
        <f>AND(Mammals!AC1,"AAAAADv6r2g=")</f>
        <v>#VALUE!</v>
      </c>
      <c r="DB2" t="e">
        <f>AND(Mammals!AD1,"AAAAADv6r2k=")</f>
        <v>#VALUE!</v>
      </c>
      <c r="DC2" t="e">
        <f>AND(Mammals!AE1,"AAAAADv6r2o=")</f>
        <v>#VALUE!</v>
      </c>
      <c r="DD2" t="e">
        <f>AND(Mammals!AF1,"AAAAADv6r2s=")</f>
        <v>#VALUE!</v>
      </c>
      <c r="DE2" t="e">
        <f>AND(Mammals!AG1,"AAAAADv6r2w=")</f>
        <v>#VALUE!</v>
      </c>
      <c r="DF2">
        <f>IF(Mammals!2:2,"AAAAADv6r20=",0)</f>
        <v>0</v>
      </c>
      <c r="DG2" t="e">
        <f>AND(Mammals!A2,"AAAAADv6r24=")</f>
        <v>#VALUE!</v>
      </c>
      <c r="DH2" t="e">
        <f>AND(Mammals!B2,"AAAAADv6r28=")</f>
        <v>#VALUE!</v>
      </c>
      <c r="DI2" t="e">
        <f>AND(Mammals!C2,"AAAAADv6r3A=")</f>
        <v>#VALUE!</v>
      </c>
      <c r="DJ2" t="e">
        <f>AND(Mammals!D2,"AAAAADv6r3E=")</f>
        <v>#VALUE!</v>
      </c>
      <c r="DK2" t="e">
        <f>AND(Mammals!E2,"AAAAADv6r3I=")</f>
        <v>#VALUE!</v>
      </c>
      <c r="DL2" t="e">
        <f>AND(Mammals!F2,"AAAAADv6r3M=")</f>
        <v>#VALUE!</v>
      </c>
      <c r="DM2" t="e">
        <f>AND(Mammals!G2,"AAAAADv6r3Q=")</f>
        <v>#VALUE!</v>
      </c>
      <c r="DN2" t="e">
        <f>AND(Mammals!H2,"AAAAADv6r3U=")</f>
        <v>#VALUE!</v>
      </c>
      <c r="DO2" t="e">
        <f>AND(Mammals!I2,"AAAAADv6r3Y=")</f>
        <v>#VALUE!</v>
      </c>
      <c r="DP2" t="e">
        <f>AND(Mammals!J2,"AAAAADv6r3c=")</f>
        <v>#VALUE!</v>
      </c>
      <c r="DQ2" t="e">
        <f>AND(Mammals!K2,"AAAAADv6r3g=")</f>
        <v>#VALUE!</v>
      </c>
      <c r="DR2" t="e">
        <f>AND(Mammals!L2,"AAAAADv6r3k=")</f>
        <v>#VALUE!</v>
      </c>
      <c r="DS2" t="e">
        <f>AND(Mammals!M2,"AAAAADv6r3o=")</f>
        <v>#VALUE!</v>
      </c>
      <c r="DT2" t="e">
        <f>AND(Mammals!N2,"AAAAADv6r3s=")</f>
        <v>#VALUE!</v>
      </c>
      <c r="DU2" t="e">
        <f>AND(Mammals!O2,"AAAAADv6r3w=")</f>
        <v>#VALUE!</v>
      </c>
      <c r="DV2" t="e">
        <f>AND(Mammals!P2,"AAAAADv6r30=")</f>
        <v>#VALUE!</v>
      </c>
      <c r="DW2" t="e">
        <f>AND(Mammals!Q2,"AAAAADv6r34=")</f>
        <v>#VALUE!</v>
      </c>
      <c r="DX2" t="e">
        <f>AND(Mammals!R2,"AAAAADv6r38=")</f>
        <v>#VALUE!</v>
      </c>
      <c r="DY2" t="e">
        <f>AND(Mammals!S2,"AAAAADv6r4A=")</f>
        <v>#VALUE!</v>
      </c>
      <c r="DZ2" t="e">
        <f>AND(Mammals!T2,"AAAAADv6r4E=")</f>
        <v>#VALUE!</v>
      </c>
      <c r="EA2" t="e">
        <f>AND(Mammals!U2,"AAAAADv6r4I=")</f>
        <v>#VALUE!</v>
      </c>
      <c r="EB2" t="e">
        <f>AND(Mammals!V2,"AAAAADv6r4M=")</f>
        <v>#VALUE!</v>
      </c>
      <c r="EC2" t="e">
        <f>AND(Mammals!W2,"AAAAADv6r4Q=")</f>
        <v>#VALUE!</v>
      </c>
      <c r="ED2" t="e">
        <f>AND(Mammals!X2,"AAAAADv6r4U=")</f>
        <v>#VALUE!</v>
      </c>
      <c r="EE2" t="e">
        <f>AND(Mammals!Y2,"AAAAADv6r4Y=")</f>
        <v>#VALUE!</v>
      </c>
      <c r="EF2" t="e">
        <f>AND(Mammals!Z2,"AAAAADv6r4c=")</f>
        <v>#VALUE!</v>
      </c>
      <c r="EG2" t="e">
        <f>AND(Mammals!AA2,"AAAAADv6r4g=")</f>
        <v>#VALUE!</v>
      </c>
      <c r="EH2" t="e">
        <f>AND(Mammals!AB2,"AAAAADv6r4k=")</f>
        <v>#VALUE!</v>
      </c>
      <c r="EI2" t="e">
        <f>AND(Mammals!AC2,"AAAAADv6r4o=")</f>
        <v>#VALUE!</v>
      </c>
      <c r="EJ2" t="e">
        <f>AND(Mammals!AD2,"AAAAADv6r4s=")</f>
        <v>#VALUE!</v>
      </c>
      <c r="EK2" t="e">
        <f>AND(Mammals!AE2,"AAAAADv6r4w=")</f>
        <v>#VALUE!</v>
      </c>
      <c r="EL2" t="e">
        <f>AND(Mammals!AF2,"AAAAADv6r40=")</f>
        <v>#VALUE!</v>
      </c>
      <c r="EM2" t="e">
        <f>AND(Mammals!AG2,"AAAAADv6r44=")</f>
        <v>#VALUE!</v>
      </c>
      <c r="EN2">
        <f>IF(Mammals!3:3,"AAAAADv6r48=",0)</f>
        <v>0</v>
      </c>
      <c r="EO2" t="e">
        <f>AND(Mammals!A3,"AAAAADv6r5A=")</f>
        <v>#VALUE!</v>
      </c>
      <c r="EP2" t="e">
        <f>AND(Mammals!B3,"AAAAADv6r5E=")</f>
        <v>#VALUE!</v>
      </c>
      <c r="EQ2" t="e">
        <f>AND(Mammals!C3,"AAAAADv6r5I=")</f>
        <v>#VALUE!</v>
      </c>
      <c r="ER2" t="e">
        <f>AND(Mammals!D3,"AAAAADv6r5M=")</f>
        <v>#VALUE!</v>
      </c>
      <c r="ES2" t="e">
        <f>AND(Mammals!E3,"AAAAADv6r5Q=")</f>
        <v>#VALUE!</v>
      </c>
      <c r="ET2" t="e">
        <f>AND(Mammals!F3,"AAAAADv6r5U=")</f>
        <v>#VALUE!</v>
      </c>
      <c r="EU2" t="e">
        <f>AND(Mammals!G3,"AAAAADv6r5Y=")</f>
        <v>#VALUE!</v>
      </c>
      <c r="EV2" t="e">
        <f>AND(Mammals!H3,"AAAAADv6r5c=")</f>
        <v>#VALUE!</v>
      </c>
      <c r="EW2" t="e">
        <f>AND(Mammals!I3,"AAAAADv6r5g=")</f>
        <v>#VALUE!</v>
      </c>
      <c r="EX2" t="e">
        <f>AND(Mammals!J3,"AAAAADv6r5k=")</f>
        <v>#VALUE!</v>
      </c>
      <c r="EY2" t="e">
        <f>AND(Mammals!K3,"AAAAADv6r5o=")</f>
        <v>#VALUE!</v>
      </c>
      <c r="EZ2" t="e">
        <f>AND(Mammals!L3,"AAAAADv6r5s=")</f>
        <v>#VALUE!</v>
      </c>
      <c r="FA2" t="e">
        <f>AND(Mammals!M3,"AAAAADv6r5w=")</f>
        <v>#VALUE!</v>
      </c>
      <c r="FB2" t="e">
        <f>AND(Mammals!N3,"AAAAADv6r50=")</f>
        <v>#VALUE!</v>
      </c>
      <c r="FC2" t="e">
        <f>AND(Mammals!O3,"AAAAADv6r54=")</f>
        <v>#VALUE!</v>
      </c>
      <c r="FD2" t="e">
        <f>AND(Mammals!P3,"AAAAADv6r58=")</f>
        <v>#VALUE!</v>
      </c>
      <c r="FE2" t="e">
        <f>AND(Mammals!Q3,"AAAAADv6r6A=")</f>
        <v>#VALUE!</v>
      </c>
      <c r="FF2" t="e">
        <f>AND(Mammals!R3,"AAAAADv6r6E=")</f>
        <v>#VALUE!</v>
      </c>
      <c r="FG2" t="e">
        <f>AND(Mammals!S3,"AAAAADv6r6I=")</f>
        <v>#VALUE!</v>
      </c>
      <c r="FH2" t="e">
        <f>AND(Mammals!T3,"AAAAADv6r6M=")</f>
        <v>#VALUE!</v>
      </c>
      <c r="FI2" t="e">
        <f>AND(Mammals!U3,"AAAAADv6r6Q=")</f>
        <v>#VALUE!</v>
      </c>
      <c r="FJ2" t="e">
        <f>AND(Mammals!V3,"AAAAADv6r6U=")</f>
        <v>#VALUE!</v>
      </c>
      <c r="FK2" t="e">
        <f>AND(Mammals!W3,"AAAAADv6r6Y=")</f>
        <v>#VALUE!</v>
      </c>
      <c r="FL2" t="e">
        <f>AND(Mammals!X3,"AAAAADv6r6c=")</f>
        <v>#VALUE!</v>
      </c>
      <c r="FM2" t="e">
        <f>AND(Mammals!Y3,"AAAAADv6r6g=")</f>
        <v>#VALUE!</v>
      </c>
      <c r="FN2" t="e">
        <f>AND(Mammals!Z3,"AAAAADv6r6k=")</f>
        <v>#VALUE!</v>
      </c>
      <c r="FO2" t="e">
        <f>AND(Mammals!AA3,"AAAAADv6r6o=")</f>
        <v>#VALUE!</v>
      </c>
      <c r="FP2" t="e">
        <f>AND(Mammals!AB3,"AAAAADv6r6s=")</f>
        <v>#VALUE!</v>
      </c>
      <c r="FQ2" t="e">
        <f>AND(Mammals!AC3,"AAAAADv6r6w=")</f>
        <v>#VALUE!</v>
      </c>
      <c r="FR2" t="e">
        <f>AND(Mammals!AD3,"AAAAADv6r60=")</f>
        <v>#VALUE!</v>
      </c>
      <c r="FS2" t="e">
        <f>AND(Mammals!AE3,"AAAAADv6r64=")</f>
        <v>#VALUE!</v>
      </c>
      <c r="FT2" t="e">
        <f>AND(Mammals!AF3,"AAAAADv6r68=")</f>
        <v>#VALUE!</v>
      </c>
      <c r="FU2" t="e">
        <f>AND(Mammals!AG3,"AAAAADv6r7A=")</f>
        <v>#VALUE!</v>
      </c>
      <c r="FV2">
        <f>IF(Mammals!4:4,"AAAAADv6r7E=",0)</f>
        <v>0</v>
      </c>
      <c r="FW2" t="e">
        <f>AND(Mammals!A4,"AAAAADv6r7I=")</f>
        <v>#VALUE!</v>
      </c>
      <c r="FX2" t="e">
        <f>AND(Mammals!B4,"AAAAADv6r7M=")</f>
        <v>#VALUE!</v>
      </c>
      <c r="FY2" t="e">
        <f>AND(Mammals!C4,"AAAAADv6r7Q=")</f>
        <v>#VALUE!</v>
      </c>
      <c r="FZ2" t="e">
        <f>AND(Mammals!D4,"AAAAADv6r7U=")</f>
        <v>#VALUE!</v>
      </c>
      <c r="GA2" t="e">
        <f>AND(Mammals!E4,"AAAAADv6r7Y=")</f>
        <v>#VALUE!</v>
      </c>
      <c r="GB2" t="e">
        <f>AND(Mammals!F4,"AAAAADv6r7c=")</f>
        <v>#VALUE!</v>
      </c>
      <c r="GC2" t="e">
        <f>AND(Mammals!G4,"AAAAADv6r7g=")</f>
        <v>#VALUE!</v>
      </c>
      <c r="GD2" t="e">
        <f>AND(Mammals!H4,"AAAAADv6r7k=")</f>
        <v>#VALUE!</v>
      </c>
      <c r="GE2" t="e">
        <f>AND(Mammals!I4,"AAAAADv6r7o=")</f>
        <v>#VALUE!</v>
      </c>
      <c r="GF2" t="e">
        <f>AND(Mammals!J4,"AAAAADv6r7s=")</f>
        <v>#VALUE!</v>
      </c>
      <c r="GG2" t="e">
        <f>AND(Mammals!K4,"AAAAADv6r7w=")</f>
        <v>#VALUE!</v>
      </c>
      <c r="GH2" t="e">
        <f>AND(Mammals!L4,"AAAAADv6r70=")</f>
        <v>#VALUE!</v>
      </c>
      <c r="GI2" t="e">
        <f>AND(Mammals!M4,"AAAAADv6r74=")</f>
        <v>#VALUE!</v>
      </c>
      <c r="GJ2" t="e">
        <f>AND(Mammals!N4,"AAAAADv6r78=")</f>
        <v>#VALUE!</v>
      </c>
      <c r="GK2" t="e">
        <f>AND(Mammals!O4,"AAAAADv6r8A=")</f>
        <v>#VALUE!</v>
      </c>
      <c r="GL2" t="e">
        <f>AND(Mammals!P4,"AAAAADv6r8E=")</f>
        <v>#VALUE!</v>
      </c>
      <c r="GM2" t="e">
        <f>AND(Mammals!Q4,"AAAAADv6r8I=")</f>
        <v>#VALUE!</v>
      </c>
      <c r="GN2" t="e">
        <f>AND(Mammals!R4,"AAAAADv6r8M=")</f>
        <v>#VALUE!</v>
      </c>
      <c r="GO2" t="e">
        <f>AND(Mammals!S4,"AAAAADv6r8Q=")</f>
        <v>#VALUE!</v>
      </c>
      <c r="GP2" t="e">
        <f>AND(Mammals!T4,"AAAAADv6r8U=")</f>
        <v>#VALUE!</v>
      </c>
      <c r="GQ2" t="e">
        <f>AND(Mammals!U4,"AAAAADv6r8Y=")</f>
        <v>#VALUE!</v>
      </c>
      <c r="GR2" t="e">
        <f>AND(Mammals!V4,"AAAAADv6r8c=")</f>
        <v>#VALUE!</v>
      </c>
      <c r="GS2" t="e">
        <f>AND(Mammals!W4,"AAAAADv6r8g=")</f>
        <v>#VALUE!</v>
      </c>
      <c r="GT2" t="e">
        <f>AND(Mammals!X4,"AAAAADv6r8k=")</f>
        <v>#VALUE!</v>
      </c>
      <c r="GU2" t="e">
        <f>AND(Mammals!Y4,"AAAAADv6r8o=")</f>
        <v>#VALUE!</v>
      </c>
      <c r="GV2" t="e">
        <f>AND(Mammals!Z4,"AAAAADv6r8s=")</f>
        <v>#VALUE!</v>
      </c>
      <c r="GW2" t="e">
        <f>AND(Mammals!AA4,"AAAAADv6r8w=")</f>
        <v>#VALUE!</v>
      </c>
      <c r="GX2" t="e">
        <f>AND(Mammals!AB4,"AAAAADv6r80=")</f>
        <v>#VALUE!</v>
      </c>
      <c r="GY2" t="e">
        <f>AND(Mammals!AC4,"AAAAADv6r84=")</f>
        <v>#VALUE!</v>
      </c>
      <c r="GZ2" t="e">
        <f>AND(Mammals!AD4,"AAAAADv6r88=")</f>
        <v>#VALUE!</v>
      </c>
      <c r="HA2" t="e">
        <f>AND(Mammals!AE4,"AAAAADv6r9A=")</f>
        <v>#VALUE!</v>
      </c>
      <c r="HB2" t="e">
        <f>AND(Mammals!AF4,"AAAAADv6r9E=")</f>
        <v>#VALUE!</v>
      </c>
      <c r="HC2" t="e">
        <f>AND(Mammals!AG4,"AAAAADv6r9I=")</f>
        <v>#VALUE!</v>
      </c>
      <c r="HD2">
        <f>IF(Mammals!5:5,"AAAAADv6r9M=",0)</f>
        <v>0</v>
      </c>
      <c r="HE2" t="e">
        <f>AND(Mammals!A5,"AAAAADv6r9Q=")</f>
        <v>#VALUE!</v>
      </c>
      <c r="HF2" t="e">
        <f>AND(Mammals!B5,"AAAAADv6r9U=")</f>
        <v>#VALUE!</v>
      </c>
      <c r="HG2" t="e">
        <f>AND(Mammals!C5,"AAAAADv6r9Y=")</f>
        <v>#VALUE!</v>
      </c>
      <c r="HH2" t="e">
        <f>AND(Mammals!D5,"AAAAADv6r9c=")</f>
        <v>#VALUE!</v>
      </c>
      <c r="HI2" t="e">
        <f>AND(Mammals!E5,"AAAAADv6r9g=")</f>
        <v>#VALUE!</v>
      </c>
      <c r="HJ2" t="e">
        <f>AND(Mammals!F5,"AAAAADv6r9k=")</f>
        <v>#VALUE!</v>
      </c>
      <c r="HK2" t="e">
        <f>AND(Mammals!G5,"AAAAADv6r9o=")</f>
        <v>#VALUE!</v>
      </c>
      <c r="HL2" t="e">
        <f>AND(Mammals!H5,"AAAAADv6r9s=")</f>
        <v>#VALUE!</v>
      </c>
      <c r="HM2" t="e">
        <f>AND(Mammals!I5,"AAAAADv6r9w=")</f>
        <v>#VALUE!</v>
      </c>
      <c r="HN2" t="e">
        <f>AND(Mammals!J5,"AAAAADv6r90=")</f>
        <v>#VALUE!</v>
      </c>
      <c r="HO2" t="e">
        <f>AND(Mammals!K5,"AAAAADv6r94=")</f>
        <v>#VALUE!</v>
      </c>
      <c r="HP2" t="e">
        <f>AND(Mammals!L5,"AAAAADv6r98=")</f>
        <v>#VALUE!</v>
      </c>
      <c r="HQ2" t="e">
        <f>AND(Mammals!M5,"AAAAADv6r+A=")</f>
        <v>#VALUE!</v>
      </c>
      <c r="HR2" t="e">
        <f>AND(Mammals!N5,"AAAAADv6r+E=")</f>
        <v>#VALUE!</v>
      </c>
      <c r="HS2" t="e">
        <f>AND(Mammals!O5,"AAAAADv6r+I=")</f>
        <v>#VALUE!</v>
      </c>
      <c r="HT2" t="e">
        <f>AND(Mammals!P5,"AAAAADv6r+M=")</f>
        <v>#VALUE!</v>
      </c>
      <c r="HU2" t="e">
        <f>AND(Mammals!Q5,"AAAAADv6r+Q=")</f>
        <v>#VALUE!</v>
      </c>
      <c r="HV2" t="e">
        <f>AND(Mammals!R5,"AAAAADv6r+U=")</f>
        <v>#VALUE!</v>
      </c>
      <c r="HW2" t="e">
        <f>AND(Mammals!S5,"AAAAADv6r+Y=")</f>
        <v>#VALUE!</v>
      </c>
      <c r="HX2" t="e">
        <f>AND(Mammals!T5,"AAAAADv6r+c=")</f>
        <v>#VALUE!</v>
      </c>
      <c r="HY2" t="e">
        <f>AND(Mammals!U5,"AAAAADv6r+g=")</f>
        <v>#VALUE!</v>
      </c>
      <c r="HZ2" t="e">
        <f>AND(Mammals!V5,"AAAAADv6r+k=")</f>
        <v>#VALUE!</v>
      </c>
      <c r="IA2" t="e">
        <f>AND(Mammals!W5,"AAAAADv6r+o=")</f>
        <v>#VALUE!</v>
      </c>
      <c r="IB2" t="e">
        <f>AND(Mammals!X5,"AAAAADv6r+s=")</f>
        <v>#VALUE!</v>
      </c>
      <c r="IC2" t="e">
        <f>AND(Mammals!Y5,"AAAAADv6r+w=")</f>
        <v>#VALUE!</v>
      </c>
      <c r="ID2" t="e">
        <f>AND(Mammals!Z5,"AAAAADv6r+0=")</f>
        <v>#VALUE!</v>
      </c>
      <c r="IE2" t="e">
        <f>AND(Mammals!AA5,"AAAAADv6r+4=")</f>
        <v>#VALUE!</v>
      </c>
      <c r="IF2" t="e">
        <f>AND(Mammals!AB5,"AAAAADv6r+8=")</f>
        <v>#VALUE!</v>
      </c>
      <c r="IG2" t="e">
        <f>AND(Mammals!AC5,"AAAAADv6r/A=")</f>
        <v>#VALUE!</v>
      </c>
      <c r="IH2" t="e">
        <f>AND(Mammals!AD5,"AAAAADv6r/E=")</f>
        <v>#VALUE!</v>
      </c>
      <c r="II2" t="e">
        <f>AND(Mammals!AE5,"AAAAADv6r/I=")</f>
        <v>#VALUE!</v>
      </c>
      <c r="IJ2" t="e">
        <f>AND(Mammals!AF5,"AAAAADv6r/M=")</f>
        <v>#VALUE!</v>
      </c>
      <c r="IK2" t="e">
        <f>AND(Mammals!AG5,"AAAAADv6r/Q=")</f>
        <v>#VALUE!</v>
      </c>
      <c r="IL2">
        <f>IF(Mammals!6:6,"AAAAADv6r/U=",0)</f>
        <v>0</v>
      </c>
      <c r="IM2" t="e">
        <f>AND(Mammals!A6,"AAAAADv6r/Y=")</f>
        <v>#VALUE!</v>
      </c>
      <c r="IN2" t="e">
        <f>AND(Mammals!B6,"AAAAADv6r/c=")</f>
        <v>#VALUE!</v>
      </c>
      <c r="IO2" t="e">
        <f>AND(Mammals!C6,"AAAAADv6r/g=")</f>
        <v>#VALUE!</v>
      </c>
      <c r="IP2" t="e">
        <f>AND(Mammals!D6,"AAAAADv6r/k=")</f>
        <v>#VALUE!</v>
      </c>
      <c r="IQ2" t="e">
        <f>AND(Mammals!E6,"AAAAADv6r/o=")</f>
        <v>#VALUE!</v>
      </c>
      <c r="IR2" t="e">
        <f>AND(Mammals!F6,"AAAAADv6r/s=")</f>
        <v>#VALUE!</v>
      </c>
      <c r="IS2" t="e">
        <f>AND(Mammals!G6,"AAAAADv6r/w=")</f>
        <v>#VALUE!</v>
      </c>
      <c r="IT2" t="e">
        <f>AND(Mammals!H6,"AAAAADv6r/0=")</f>
        <v>#VALUE!</v>
      </c>
      <c r="IU2" t="e">
        <f>AND(Mammals!I6,"AAAAADv6r/4=")</f>
        <v>#VALUE!</v>
      </c>
      <c r="IV2" t="e">
        <f>AND(Mammals!J6,"AAAAADv6r/8=")</f>
        <v>#VALUE!</v>
      </c>
    </row>
    <row r="3" spans="1:256">
      <c r="A3" t="e">
        <f>AND(Mammals!K6,"AAAAAHLl/QA=")</f>
        <v>#VALUE!</v>
      </c>
      <c r="B3" t="e">
        <f>AND(Mammals!L6,"AAAAAHLl/QE=")</f>
        <v>#VALUE!</v>
      </c>
      <c r="C3" t="e">
        <f>AND(Mammals!M6,"AAAAAHLl/QI=")</f>
        <v>#VALUE!</v>
      </c>
      <c r="D3" t="e">
        <f>AND(Mammals!N6,"AAAAAHLl/QM=")</f>
        <v>#VALUE!</v>
      </c>
      <c r="E3" t="e">
        <f>AND(Mammals!O6,"AAAAAHLl/QQ=")</f>
        <v>#VALUE!</v>
      </c>
      <c r="F3" t="e">
        <f>AND(Mammals!P6,"AAAAAHLl/QU=")</f>
        <v>#VALUE!</v>
      </c>
      <c r="G3" t="e">
        <f>AND(Mammals!Q6,"AAAAAHLl/QY=")</f>
        <v>#VALUE!</v>
      </c>
      <c r="H3" t="e">
        <f>AND(Mammals!R6,"AAAAAHLl/Qc=")</f>
        <v>#VALUE!</v>
      </c>
      <c r="I3" t="e">
        <f>AND(Mammals!S6,"AAAAAHLl/Qg=")</f>
        <v>#VALUE!</v>
      </c>
      <c r="J3" t="e">
        <f>AND(Mammals!T6,"AAAAAHLl/Qk=")</f>
        <v>#VALUE!</v>
      </c>
      <c r="K3" t="e">
        <f>AND(Mammals!U6,"AAAAAHLl/Qo=")</f>
        <v>#VALUE!</v>
      </c>
      <c r="L3" t="e">
        <f>AND(Mammals!V6,"AAAAAHLl/Qs=")</f>
        <v>#VALUE!</v>
      </c>
      <c r="M3" t="e">
        <f>AND(Mammals!W6,"AAAAAHLl/Qw=")</f>
        <v>#VALUE!</v>
      </c>
      <c r="N3" t="e">
        <f>AND(Mammals!X6,"AAAAAHLl/Q0=")</f>
        <v>#VALUE!</v>
      </c>
      <c r="O3" t="e">
        <f>AND(Mammals!Y6,"AAAAAHLl/Q4=")</f>
        <v>#VALUE!</v>
      </c>
      <c r="P3" t="e">
        <f>AND(Mammals!Z6,"AAAAAHLl/Q8=")</f>
        <v>#VALUE!</v>
      </c>
      <c r="Q3" t="e">
        <f>AND(Mammals!AA6,"AAAAAHLl/RA=")</f>
        <v>#VALUE!</v>
      </c>
      <c r="R3" t="e">
        <f>AND(Mammals!AB6,"AAAAAHLl/RE=")</f>
        <v>#VALUE!</v>
      </c>
      <c r="S3" t="e">
        <f>AND(Mammals!AC6,"AAAAAHLl/RI=")</f>
        <v>#VALUE!</v>
      </c>
      <c r="T3" t="e">
        <f>AND(Mammals!AD6,"AAAAAHLl/RM=")</f>
        <v>#VALUE!</v>
      </c>
      <c r="U3" t="e">
        <f>AND(Mammals!AE6,"AAAAAHLl/RQ=")</f>
        <v>#VALUE!</v>
      </c>
      <c r="V3" t="e">
        <f>AND(Mammals!AF6,"AAAAAHLl/RU=")</f>
        <v>#VALUE!</v>
      </c>
      <c r="W3" t="e">
        <f>AND(Mammals!AG6,"AAAAAHLl/RY=")</f>
        <v>#VALUE!</v>
      </c>
      <c r="X3">
        <f>IF(Mammals!7:7,"AAAAAHLl/Rc=",0)</f>
        <v>0</v>
      </c>
      <c r="Y3" t="e">
        <f>AND(Mammals!A7,"AAAAAHLl/Rg=")</f>
        <v>#VALUE!</v>
      </c>
      <c r="Z3" t="e">
        <f>AND(Mammals!B7,"AAAAAHLl/Rk=")</f>
        <v>#VALUE!</v>
      </c>
      <c r="AA3" t="e">
        <f>AND(Mammals!C7,"AAAAAHLl/Ro=")</f>
        <v>#VALUE!</v>
      </c>
      <c r="AB3" t="e">
        <f>AND(Mammals!D7,"AAAAAHLl/Rs=")</f>
        <v>#VALUE!</v>
      </c>
      <c r="AC3" t="e">
        <f>AND(Mammals!E7,"AAAAAHLl/Rw=")</f>
        <v>#VALUE!</v>
      </c>
      <c r="AD3" t="e">
        <f>AND(Mammals!F7,"AAAAAHLl/R0=")</f>
        <v>#VALUE!</v>
      </c>
      <c r="AE3" t="e">
        <f>AND(Mammals!G7,"AAAAAHLl/R4=")</f>
        <v>#VALUE!</v>
      </c>
      <c r="AF3" t="e">
        <f>AND(Mammals!H7,"AAAAAHLl/R8=")</f>
        <v>#VALUE!</v>
      </c>
      <c r="AG3" t="e">
        <f>AND(Mammals!I7,"AAAAAHLl/SA=")</f>
        <v>#VALUE!</v>
      </c>
      <c r="AH3" t="e">
        <f>AND(Mammals!J7,"AAAAAHLl/SE=")</f>
        <v>#VALUE!</v>
      </c>
      <c r="AI3" t="e">
        <f>AND(Mammals!K7,"AAAAAHLl/SI=")</f>
        <v>#VALUE!</v>
      </c>
      <c r="AJ3" t="e">
        <f>AND(Mammals!L7,"AAAAAHLl/SM=")</f>
        <v>#VALUE!</v>
      </c>
      <c r="AK3" t="e">
        <f>AND(Mammals!M7,"AAAAAHLl/SQ=")</f>
        <v>#VALUE!</v>
      </c>
      <c r="AL3" t="e">
        <f>AND(Mammals!N7,"AAAAAHLl/SU=")</f>
        <v>#VALUE!</v>
      </c>
      <c r="AM3" t="e">
        <f>AND(Mammals!O7,"AAAAAHLl/SY=")</f>
        <v>#VALUE!</v>
      </c>
      <c r="AN3" t="e">
        <f>AND(Mammals!P7,"AAAAAHLl/Sc=")</f>
        <v>#VALUE!</v>
      </c>
      <c r="AO3" t="e">
        <f>AND(Mammals!Q7,"AAAAAHLl/Sg=")</f>
        <v>#VALUE!</v>
      </c>
      <c r="AP3" t="e">
        <f>AND(Mammals!R7,"AAAAAHLl/Sk=")</f>
        <v>#VALUE!</v>
      </c>
      <c r="AQ3" t="e">
        <f>AND(Mammals!S7,"AAAAAHLl/So=")</f>
        <v>#VALUE!</v>
      </c>
      <c r="AR3" t="e">
        <f>AND(Mammals!T7,"AAAAAHLl/Ss=")</f>
        <v>#VALUE!</v>
      </c>
      <c r="AS3" t="e">
        <f>AND(Mammals!U7,"AAAAAHLl/Sw=")</f>
        <v>#VALUE!</v>
      </c>
      <c r="AT3" t="e">
        <f>AND(Mammals!V7,"AAAAAHLl/S0=")</f>
        <v>#VALUE!</v>
      </c>
      <c r="AU3" t="e">
        <f>AND(Mammals!W7,"AAAAAHLl/S4=")</f>
        <v>#VALUE!</v>
      </c>
      <c r="AV3" t="e">
        <f>AND(Mammals!X7,"AAAAAHLl/S8=")</f>
        <v>#VALUE!</v>
      </c>
      <c r="AW3" t="e">
        <f>AND(Mammals!Y7,"AAAAAHLl/TA=")</f>
        <v>#VALUE!</v>
      </c>
      <c r="AX3" t="e">
        <f>AND(Mammals!Z7,"AAAAAHLl/TE=")</f>
        <v>#VALUE!</v>
      </c>
      <c r="AY3" t="e">
        <f>AND(Mammals!AA7,"AAAAAHLl/TI=")</f>
        <v>#VALUE!</v>
      </c>
      <c r="AZ3" t="e">
        <f>AND(Mammals!AB7,"AAAAAHLl/TM=")</f>
        <v>#VALUE!</v>
      </c>
      <c r="BA3" t="e">
        <f>AND(Mammals!AC7,"AAAAAHLl/TQ=")</f>
        <v>#VALUE!</v>
      </c>
      <c r="BB3" t="e">
        <f>AND(Mammals!AD7,"AAAAAHLl/TU=")</f>
        <v>#VALUE!</v>
      </c>
      <c r="BC3" t="e">
        <f>AND(Mammals!AE7,"AAAAAHLl/TY=")</f>
        <v>#VALUE!</v>
      </c>
      <c r="BD3" t="e">
        <f>AND(Mammals!AF7,"AAAAAHLl/Tc=")</f>
        <v>#VALUE!</v>
      </c>
      <c r="BE3" t="e">
        <f>AND(Mammals!AG7,"AAAAAHLl/Tg=")</f>
        <v>#VALUE!</v>
      </c>
      <c r="BF3">
        <f>IF(Mammals!8:8,"AAAAAHLl/Tk=",0)</f>
        <v>0</v>
      </c>
      <c r="BG3" t="e">
        <f>AND(Mammals!A8,"AAAAAHLl/To=")</f>
        <v>#VALUE!</v>
      </c>
      <c r="BH3" t="e">
        <f>AND(Mammals!B8,"AAAAAHLl/Ts=")</f>
        <v>#VALUE!</v>
      </c>
      <c r="BI3" t="e">
        <f>AND(Mammals!C8,"AAAAAHLl/Tw=")</f>
        <v>#VALUE!</v>
      </c>
      <c r="BJ3" t="e">
        <f>AND(Mammals!D8,"AAAAAHLl/T0=")</f>
        <v>#VALUE!</v>
      </c>
      <c r="BK3" t="e">
        <f>AND(Mammals!E8,"AAAAAHLl/T4=")</f>
        <v>#VALUE!</v>
      </c>
      <c r="BL3" t="e">
        <f>AND(Mammals!F8,"AAAAAHLl/T8=")</f>
        <v>#VALUE!</v>
      </c>
      <c r="BM3" t="e">
        <f>AND(Mammals!G8,"AAAAAHLl/UA=")</f>
        <v>#VALUE!</v>
      </c>
      <c r="BN3" t="e">
        <f>AND(Mammals!H8,"AAAAAHLl/UE=")</f>
        <v>#VALUE!</v>
      </c>
      <c r="BO3" t="e">
        <f>AND(Mammals!I8,"AAAAAHLl/UI=")</f>
        <v>#VALUE!</v>
      </c>
      <c r="BP3" t="e">
        <f>AND(Mammals!J8,"AAAAAHLl/UM=")</f>
        <v>#VALUE!</v>
      </c>
      <c r="BQ3" t="e">
        <f>AND(Mammals!K8,"AAAAAHLl/UQ=")</f>
        <v>#VALUE!</v>
      </c>
      <c r="BR3" t="e">
        <f>AND(Mammals!L8,"AAAAAHLl/UU=")</f>
        <v>#VALUE!</v>
      </c>
      <c r="BS3" t="e">
        <f>AND(Mammals!M8,"AAAAAHLl/UY=")</f>
        <v>#VALUE!</v>
      </c>
      <c r="BT3" t="e">
        <f>AND(Mammals!N8,"AAAAAHLl/Uc=")</f>
        <v>#VALUE!</v>
      </c>
      <c r="BU3" t="e">
        <f>AND(Mammals!O8,"AAAAAHLl/Ug=")</f>
        <v>#VALUE!</v>
      </c>
      <c r="BV3" t="e">
        <f>AND(Mammals!P8,"AAAAAHLl/Uk=")</f>
        <v>#VALUE!</v>
      </c>
      <c r="BW3" t="e">
        <f>AND(Mammals!Q8,"AAAAAHLl/Uo=")</f>
        <v>#VALUE!</v>
      </c>
      <c r="BX3" t="e">
        <f>AND(Mammals!R8,"AAAAAHLl/Us=")</f>
        <v>#VALUE!</v>
      </c>
      <c r="BY3" t="e">
        <f>AND(Mammals!S8,"AAAAAHLl/Uw=")</f>
        <v>#VALUE!</v>
      </c>
      <c r="BZ3" t="e">
        <f>AND(Mammals!T8,"AAAAAHLl/U0=")</f>
        <v>#VALUE!</v>
      </c>
      <c r="CA3" t="e">
        <f>AND(Mammals!U8,"AAAAAHLl/U4=")</f>
        <v>#VALUE!</v>
      </c>
      <c r="CB3" t="e">
        <f>AND(Mammals!V8,"AAAAAHLl/U8=")</f>
        <v>#VALUE!</v>
      </c>
      <c r="CC3" t="e">
        <f>AND(Mammals!W8,"AAAAAHLl/VA=")</f>
        <v>#VALUE!</v>
      </c>
      <c r="CD3" t="e">
        <f>AND(Mammals!X8,"AAAAAHLl/VE=")</f>
        <v>#VALUE!</v>
      </c>
      <c r="CE3" t="e">
        <f>AND(Mammals!Y8,"AAAAAHLl/VI=")</f>
        <v>#VALUE!</v>
      </c>
      <c r="CF3" t="e">
        <f>AND(Mammals!Z8,"AAAAAHLl/VM=")</f>
        <v>#VALUE!</v>
      </c>
      <c r="CG3" t="e">
        <f>AND(Mammals!AA8,"AAAAAHLl/VQ=")</f>
        <v>#VALUE!</v>
      </c>
      <c r="CH3" t="e">
        <f>AND(Mammals!AB8,"AAAAAHLl/VU=")</f>
        <v>#VALUE!</v>
      </c>
      <c r="CI3" t="e">
        <f>AND(Mammals!AC8,"AAAAAHLl/VY=")</f>
        <v>#VALUE!</v>
      </c>
      <c r="CJ3" t="e">
        <f>AND(Mammals!AD8,"AAAAAHLl/Vc=")</f>
        <v>#VALUE!</v>
      </c>
      <c r="CK3" t="e">
        <f>AND(Mammals!AE8,"AAAAAHLl/Vg=")</f>
        <v>#VALUE!</v>
      </c>
      <c r="CL3" t="e">
        <f>AND(Mammals!AF8,"AAAAAHLl/Vk=")</f>
        <v>#VALUE!</v>
      </c>
      <c r="CM3" t="e">
        <f>AND(Mammals!AG8,"AAAAAHLl/Vo=")</f>
        <v>#VALUE!</v>
      </c>
      <c r="CN3">
        <f>IF(Mammals!9:9,"AAAAAHLl/Vs=",0)</f>
        <v>0</v>
      </c>
      <c r="CO3" t="e">
        <f>AND(Mammals!A9,"AAAAAHLl/Vw=")</f>
        <v>#VALUE!</v>
      </c>
      <c r="CP3" t="e">
        <f>AND(Mammals!B9,"AAAAAHLl/V0=")</f>
        <v>#VALUE!</v>
      </c>
      <c r="CQ3" t="e">
        <f>AND(Mammals!C9,"AAAAAHLl/V4=")</f>
        <v>#VALUE!</v>
      </c>
      <c r="CR3" t="e">
        <f>AND(Mammals!D9,"AAAAAHLl/V8=")</f>
        <v>#VALUE!</v>
      </c>
      <c r="CS3" t="e">
        <f>AND(Mammals!E9,"AAAAAHLl/WA=")</f>
        <v>#VALUE!</v>
      </c>
      <c r="CT3" t="e">
        <f>AND(Mammals!F9,"AAAAAHLl/WE=")</f>
        <v>#VALUE!</v>
      </c>
      <c r="CU3" t="e">
        <f>AND(Mammals!G9,"AAAAAHLl/WI=")</f>
        <v>#VALUE!</v>
      </c>
      <c r="CV3" t="e">
        <f>AND(Mammals!H9,"AAAAAHLl/WM=")</f>
        <v>#VALUE!</v>
      </c>
      <c r="CW3" t="e">
        <f>AND(Mammals!I9,"AAAAAHLl/WQ=")</f>
        <v>#VALUE!</v>
      </c>
      <c r="CX3" t="e">
        <f>AND(Mammals!J9,"AAAAAHLl/WU=")</f>
        <v>#VALUE!</v>
      </c>
      <c r="CY3" t="e">
        <f>AND(Mammals!K9,"AAAAAHLl/WY=")</f>
        <v>#VALUE!</v>
      </c>
      <c r="CZ3" t="e">
        <f>AND(Mammals!L9,"AAAAAHLl/Wc=")</f>
        <v>#VALUE!</v>
      </c>
      <c r="DA3" t="e">
        <f>AND(Mammals!M9,"AAAAAHLl/Wg=")</f>
        <v>#VALUE!</v>
      </c>
      <c r="DB3" t="e">
        <f>AND(Mammals!N9,"AAAAAHLl/Wk=")</f>
        <v>#VALUE!</v>
      </c>
      <c r="DC3" t="e">
        <f>AND(Mammals!O9,"AAAAAHLl/Wo=")</f>
        <v>#VALUE!</v>
      </c>
      <c r="DD3" t="e">
        <f>AND(Mammals!P9,"AAAAAHLl/Ws=")</f>
        <v>#VALUE!</v>
      </c>
      <c r="DE3" t="e">
        <f>AND(Mammals!Q9,"AAAAAHLl/Ww=")</f>
        <v>#VALUE!</v>
      </c>
      <c r="DF3" t="e">
        <f>AND(Mammals!R9,"AAAAAHLl/W0=")</f>
        <v>#VALUE!</v>
      </c>
      <c r="DG3" t="e">
        <f>AND(Mammals!S9,"AAAAAHLl/W4=")</f>
        <v>#VALUE!</v>
      </c>
      <c r="DH3" t="e">
        <f>AND(Mammals!T9,"AAAAAHLl/W8=")</f>
        <v>#VALUE!</v>
      </c>
      <c r="DI3" t="e">
        <f>AND(Mammals!U9,"AAAAAHLl/XA=")</f>
        <v>#VALUE!</v>
      </c>
      <c r="DJ3" t="e">
        <f>AND(Mammals!V9,"AAAAAHLl/XE=")</f>
        <v>#VALUE!</v>
      </c>
      <c r="DK3" t="e">
        <f>AND(Mammals!W9,"AAAAAHLl/XI=")</f>
        <v>#VALUE!</v>
      </c>
      <c r="DL3" t="e">
        <f>AND(Mammals!X9,"AAAAAHLl/XM=")</f>
        <v>#VALUE!</v>
      </c>
      <c r="DM3" t="e">
        <f>AND(Mammals!Y9,"AAAAAHLl/XQ=")</f>
        <v>#VALUE!</v>
      </c>
      <c r="DN3" t="e">
        <f>AND(Mammals!Z9,"AAAAAHLl/XU=")</f>
        <v>#VALUE!</v>
      </c>
      <c r="DO3" t="e">
        <f>AND(Mammals!AA9,"AAAAAHLl/XY=")</f>
        <v>#VALUE!</v>
      </c>
      <c r="DP3" t="e">
        <f>AND(Mammals!AB9,"AAAAAHLl/Xc=")</f>
        <v>#VALUE!</v>
      </c>
      <c r="DQ3" t="e">
        <f>AND(Mammals!AC9,"AAAAAHLl/Xg=")</f>
        <v>#VALUE!</v>
      </c>
      <c r="DR3" t="e">
        <f>AND(Mammals!AD9,"AAAAAHLl/Xk=")</f>
        <v>#VALUE!</v>
      </c>
      <c r="DS3" t="e">
        <f>AND(Mammals!AE9,"AAAAAHLl/Xo=")</f>
        <v>#VALUE!</v>
      </c>
      <c r="DT3" t="e">
        <f>AND(Mammals!AF9,"AAAAAHLl/Xs=")</f>
        <v>#VALUE!</v>
      </c>
      <c r="DU3" t="e">
        <f>AND(Mammals!AG9,"AAAAAHLl/Xw=")</f>
        <v>#VALUE!</v>
      </c>
      <c r="DV3">
        <f>IF(Mammals!10:10,"AAAAAHLl/X0=",0)</f>
        <v>0</v>
      </c>
      <c r="DW3" t="e">
        <f>AND(Mammals!A10,"AAAAAHLl/X4=")</f>
        <v>#VALUE!</v>
      </c>
      <c r="DX3" t="e">
        <f>AND(Mammals!B10,"AAAAAHLl/X8=")</f>
        <v>#VALUE!</v>
      </c>
      <c r="DY3" t="e">
        <f>AND(Mammals!C10,"AAAAAHLl/YA=")</f>
        <v>#VALUE!</v>
      </c>
      <c r="DZ3" t="e">
        <f>AND(Mammals!D10,"AAAAAHLl/YE=")</f>
        <v>#VALUE!</v>
      </c>
      <c r="EA3" t="e">
        <f>AND(Mammals!E10,"AAAAAHLl/YI=")</f>
        <v>#VALUE!</v>
      </c>
      <c r="EB3" t="e">
        <f>AND(Mammals!F10,"AAAAAHLl/YM=")</f>
        <v>#VALUE!</v>
      </c>
      <c r="EC3" t="e">
        <f>AND(Mammals!G10,"AAAAAHLl/YQ=")</f>
        <v>#VALUE!</v>
      </c>
      <c r="ED3" t="e">
        <f>AND(Mammals!H10,"AAAAAHLl/YU=")</f>
        <v>#VALUE!</v>
      </c>
      <c r="EE3" t="e">
        <f>AND(Mammals!I10,"AAAAAHLl/YY=")</f>
        <v>#VALUE!</v>
      </c>
      <c r="EF3" t="e">
        <f>AND(Mammals!J10,"AAAAAHLl/Yc=")</f>
        <v>#VALUE!</v>
      </c>
      <c r="EG3" t="e">
        <f>AND(Mammals!K10,"AAAAAHLl/Yg=")</f>
        <v>#VALUE!</v>
      </c>
      <c r="EH3" t="e">
        <f>AND(Mammals!L10,"AAAAAHLl/Yk=")</f>
        <v>#VALUE!</v>
      </c>
      <c r="EI3" t="e">
        <f>AND(Mammals!M10,"AAAAAHLl/Yo=")</f>
        <v>#VALUE!</v>
      </c>
      <c r="EJ3" t="e">
        <f>AND(Mammals!N10,"AAAAAHLl/Ys=")</f>
        <v>#VALUE!</v>
      </c>
      <c r="EK3" t="e">
        <f>AND(Mammals!O10,"AAAAAHLl/Yw=")</f>
        <v>#VALUE!</v>
      </c>
      <c r="EL3" t="e">
        <f>AND(Mammals!P10,"AAAAAHLl/Y0=")</f>
        <v>#VALUE!</v>
      </c>
      <c r="EM3" t="e">
        <f>AND(Mammals!Q10,"AAAAAHLl/Y4=")</f>
        <v>#VALUE!</v>
      </c>
      <c r="EN3" t="e">
        <f>AND(Mammals!R10,"AAAAAHLl/Y8=")</f>
        <v>#VALUE!</v>
      </c>
      <c r="EO3" t="e">
        <f>AND(Mammals!S10,"AAAAAHLl/ZA=")</f>
        <v>#VALUE!</v>
      </c>
      <c r="EP3" t="e">
        <f>AND(Mammals!T10,"AAAAAHLl/ZE=")</f>
        <v>#VALUE!</v>
      </c>
      <c r="EQ3" t="e">
        <f>AND(Mammals!U10,"AAAAAHLl/ZI=")</f>
        <v>#VALUE!</v>
      </c>
      <c r="ER3" t="e">
        <f>AND(Mammals!V10,"AAAAAHLl/ZM=")</f>
        <v>#VALUE!</v>
      </c>
      <c r="ES3" t="e">
        <f>AND(Mammals!W10,"AAAAAHLl/ZQ=")</f>
        <v>#VALUE!</v>
      </c>
      <c r="ET3" t="e">
        <f>AND(Mammals!X10,"AAAAAHLl/ZU=")</f>
        <v>#VALUE!</v>
      </c>
      <c r="EU3" t="e">
        <f>AND(Mammals!Y10,"AAAAAHLl/ZY=")</f>
        <v>#VALUE!</v>
      </c>
      <c r="EV3" t="e">
        <f>AND(Mammals!Z10,"AAAAAHLl/Zc=")</f>
        <v>#VALUE!</v>
      </c>
      <c r="EW3" t="e">
        <f>AND(Mammals!AA10,"AAAAAHLl/Zg=")</f>
        <v>#VALUE!</v>
      </c>
      <c r="EX3" t="e">
        <f>AND(Mammals!AB10,"AAAAAHLl/Zk=")</f>
        <v>#VALUE!</v>
      </c>
      <c r="EY3" t="e">
        <f>AND(Mammals!AC10,"AAAAAHLl/Zo=")</f>
        <v>#VALUE!</v>
      </c>
      <c r="EZ3" t="e">
        <f>AND(Mammals!AD10,"AAAAAHLl/Zs=")</f>
        <v>#VALUE!</v>
      </c>
      <c r="FA3" t="e">
        <f>AND(Mammals!AE10,"AAAAAHLl/Zw=")</f>
        <v>#VALUE!</v>
      </c>
      <c r="FB3" t="e">
        <f>AND(Mammals!AF10,"AAAAAHLl/Z0=")</f>
        <v>#VALUE!</v>
      </c>
      <c r="FC3" t="e">
        <f>AND(Mammals!AG10,"AAAAAHLl/Z4=")</f>
        <v>#VALUE!</v>
      </c>
      <c r="FD3">
        <f>IF(Mammals!11:11,"AAAAAHLl/Z8=",0)</f>
        <v>0</v>
      </c>
      <c r="FE3" t="e">
        <f>AND(Mammals!A11,"AAAAAHLl/aA=")</f>
        <v>#VALUE!</v>
      </c>
      <c r="FF3" t="e">
        <f>AND(Mammals!B11,"AAAAAHLl/aE=")</f>
        <v>#VALUE!</v>
      </c>
      <c r="FG3" t="e">
        <f>AND(Mammals!C11,"AAAAAHLl/aI=")</f>
        <v>#VALUE!</v>
      </c>
      <c r="FH3" t="e">
        <f>AND(Mammals!D11,"AAAAAHLl/aM=")</f>
        <v>#VALUE!</v>
      </c>
      <c r="FI3" t="e">
        <f>AND(Mammals!E11,"AAAAAHLl/aQ=")</f>
        <v>#VALUE!</v>
      </c>
      <c r="FJ3" t="e">
        <f>AND(Mammals!F11,"AAAAAHLl/aU=")</f>
        <v>#VALUE!</v>
      </c>
      <c r="FK3" t="e">
        <f>AND(Mammals!G11,"AAAAAHLl/aY=")</f>
        <v>#VALUE!</v>
      </c>
      <c r="FL3" t="e">
        <f>AND(Mammals!H11,"AAAAAHLl/ac=")</f>
        <v>#VALUE!</v>
      </c>
      <c r="FM3" t="e">
        <f>AND(Mammals!I11,"AAAAAHLl/ag=")</f>
        <v>#VALUE!</v>
      </c>
      <c r="FN3" t="e">
        <f>AND(Mammals!J11,"AAAAAHLl/ak=")</f>
        <v>#VALUE!</v>
      </c>
      <c r="FO3" t="e">
        <f>AND(Mammals!K11,"AAAAAHLl/ao=")</f>
        <v>#VALUE!</v>
      </c>
      <c r="FP3" t="e">
        <f>AND(Mammals!L11,"AAAAAHLl/as=")</f>
        <v>#VALUE!</v>
      </c>
      <c r="FQ3" t="e">
        <f>AND(Mammals!M11,"AAAAAHLl/aw=")</f>
        <v>#VALUE!</v>
      </c>
      <c r="FR3" t="e">
        <f>AND(Mammals!N11,"AAAAAHLl/a0=")</f>
        <v>#VALUE!</v>
      </c>
      <c r="FS3" t="e">
        <f>AND(Mammals!O11,"AAAAAHLl/a4=")</f>
        <v>#VALUE!</v>
      </c>
      <c r="FT3" t="e">
        <f>AND(Mammals!P11,"AAAAAHLl/a8=")</f>
        <v>#VALUE!</v>
      </c>
      <c r="FU3" t="e">
        <f>AND(Mammals!Q11,"AAAAAHLl/bA=")</f>
        <v>#VALUE!</v>
      </c>
      <c r="FV3" t="e">
        <f>AND(Mammals!R11,"AAAAAHLl/bE=")</f>
        <v>#VALUE!</v>
      </c>
      <c r="FW3" t="e">
        <f>AND(Mammals!S11,"AAAAAHLl/bI=")</f>
        <v>#VALUE!</v>
      </c>
      <c r="FX3" t="e">
        <f>AND(Mammals!T11,"AAAAAHLl/bM=")</f>
        <v>#VALUE!</v>
      </c>
      <c r="FY3" t="e">
        <f>AND(Mammals!U11,"AAAAAHLl/bQ=")</f>
        <v>#VALUE!</v>
      </c>
      <c r="FZ3" t="e">
        <f>AND(Mammals!V11,"AAAAAHLl/bU=")</f>
        <v>#VALUE!</v>
      </c>
      <c r="GA3" t="e">
        <f>AND(Mammals!W11,"AAAAAHLl/bY=")</f>
        <v>#VALUE!</v>
      </c>
      <c r="GB3" t="e">
        <f>AND(Mammals!X11,"AAAAAHLl/bc=")</f>
        <v>#VALUE!</v>
      </c>
      <c r="GC3" t="e">
        <f>AND(Mammals!Y11,"AAAAAHLl/bg=")</f>
        <v>#VALUE!</v>
      </c>
      <c r="GD3" t="e">
        <f>AND(Mammals!Z11,"AAAAAHLl/bk=")</f>
        <v>#VALUE!</v>
      </c>
      <c r="GE3" t="e">
        <f>AND(Mammals!AA11,"AAAAAHLl/bo=")</f>
        <v>#VALUE!</v>
      </c>
      <c r="GF3" t="e">
        <f>AND(Mammals!AB11,"AAAAAHLl/bs=")</f>
        <v>#VALUE!</v>
      </c>
      <c r="GG3" t="e">
        <f>AND(Mammals!AC11,"AAAAAHLl/bw=")</f>
        <v>#VALUE!</v>
      </c>
      <c r="GH3" t="e">
        <f>AND(Mammals!AD11,"AAAAAHLl/b0=")</f>
        <v>#VALUE!</v>
      </c>
      <c r="GI3" t="e">
        <f>AND(Mammals!AE11,"AAAAAHLl/b4=")</f>
        <v>#VALUE!</v>
      </c>
      <c r="GJ3" t="e">
        <f>AND(Mammals!AF11,"AAAAAHLl/b8=")</f>
        <v>#VALUE!</v>
      </c>
      <c r="GK3" t="e">
        <f>AND(Mammals!AG11,"AAAAAHLl/cA=")</f>
        <v>#VALUE!</v>
      </c>
      <c r="GL3">
        <f>IF(Mammals!12:12,"AAAAAHLl/cE=",0)</f>
        <v>0</v>
      </c>
      <c r="GM3" t="e">
        <f>AND(Mammals!A12,"AAAAAHLl/cI=")</f>
        <v>#VALUE!</v>
      </c>
      <c r="GN3" t="e">
        <f>AND(Mammals!B12,"AAAAAHLl/cM=")</f>
        <v>#VALUE!</v>
      </c>
      <c r="GO3" t="e">
        <f>AND(Mammals!C12,"AAAAAHLl/cQ=")</f>
        <v>#VALUE!</v>
      </c>
      <c r="GP3" t="e">
        <f>AND(Mammals!D12,"AAAAAHLl/cU=")</f>
        <v>#VALUE!</v>
      </c>
      <c r="GQ3" t="e">
        <f>AND(Mammals!E12,"AAAAAHLl/cY=")</f>
        <v>#VALUE!</v>
      </c>
      <c r="GR3" t="e">
        <f>AND(Mammals!F12,"AAAAAHLl/cc=")</f>
        <v>#VALUE!</v>
      </c>
      <c r="GS3" t="e">
        <f>AND(Mammals!G12,"AAAAAHLl/cg=")</f>
        <v>#VALUE!</v>
      </c>
      <c r="GT3" t="e">
        <f>AND(Mammals!H12,"AAAAAHLl/ck=")</f>
        <v>#VALUE!</v>
      </c>
      <c r="GU3" t="e">
        <f>AND(Mammals!I12,"AAAAAHLl/co=")</f>
        <v>#VALUE!</v>
      </c>
      <c r="GV3" t="e">
        <f>AND(Mammals!J12,"AAAAAHLl/cs=")</f>
        <v>#VALUE!</v>
      </c>
      <c r="GW3" t="e">
        <f>AND(Mammals!K12,"AAAAAHLl/cw=")</f>
        <v>#VALUE!</v>
      </c>
      <c r="GX3" t="e">
        <f>AND(Mammals!L12,"AAAAAHLl/c0=")</f>
        <v>#VALUE!</v>
      </c>
      <c r="GY3" t="e">
        <f>AND(Mammals!M12,"AAAAAHLl/c4=")</f>
        <v>#VALUE!</v>
      </c>
      <c r="GZ3" t="e">
        <f>AND(Mammals!N12,"AAAAAHLl/c8=")</f>
        <v>#VALUE!</v>
      </c>
      <c r="HA3" t="e">
        <f>AND(Mammals!O12,"AAAAAHLl/dA=")</f>
        <v>#VALUE!</v>
      </c>
      <c r="HB3" t="e">
        <f>AND(Mammals!P12,"AAAAAHLl/dE=")</f>
        <v>#VALUE!</v>
      </c>
      <c r="HC3" t="e">
        <f>AND(Mammals!Q12,"AAAAAHLl/dI=")</f>
        <v>#VALUE!</v>
      </c>
      <c r="HD3" t="e">
        <f>AND(Mammals!R12,"AAAAAHLl/dM=")</f>
        <v>#VALUE!</v>
      </c>
      <c r="HE3" t="e">
        <f>AND(Mammals!S12,"AAAAAHLl/dQ=")</f>
        <v>#VALUE!</v>
      </c>
      <c r="HF3" t="e">
        <f>AND(Mammals!T12,"AAAAAHLl/dU=")</f>
        <v>#VALUE!</v>
      </c>
      <c r="HG3" t="e">
        <f>AND(Mammals!U12,"AAAAAHLl/dY=")</f>
        <v>#VALUE!</v>
      </c>
      <c r="HH3" t="e">
        <f>AND(Mammals!V12,"AAAAAHLl/dc=")</f>
        <v>#VALUE!</v>
      </c>
      <c r="HI3" t="e">
        <f>AND(Mammals!W12,"AAAAAHLl/dg=")</f>
        <v>#VALUE!</v>
      </c>
      <c r="HJ3" t="e">
        <f>AND(Mammals!X12,"AAAAAHLl/dk=")</f>
        <v>#VALUE!</v>
      </c>
      <c r="HK3" t="e">
        <f>AND(Mammals!Y12,"AAAAAHLl/do=")</f>
        <v>#VALUE!</v>
      </c>
      <c r="HL3" t="e">
        <f>AND(Mammals!Z12,"AAAAAHLl/ds=")</f>
        <v>#VALUE!</v>
      </c>
      <c r="HM3" t="e">
        <f>AND(Mammals!AA12,"AAAAAHLl/dw=")</f>
        <v>#VALUE!</v>
      </c>
      <c r="HN3" t="e">
        <f>AND(Mammals!AB12,"AAAAAHLl/d0=")</f>
        <v>#VALUE!</v>
      </c>
      <c r="HO3" t="e">
        <f>AND(Mammals!AC12,"AAAAAHLl/d4=")</f>
        <v>#VALUE!</v>
      </c>
      <c r="HP3" t="e">
        <f>AND(Mammals!AD12,"AAAAAHLl/d8=")</f>
        <v>#VALUE!</v>
      </c>
      <c r="HQ3" t="e">
        <f>AND(Mammals!AE12,"AAAAAHLl/eA=")</f>
        <v>#VALUE!</v>
      </c>
      <c r="HR3" t="e">
        <f>AND(Mammals!AF12,"AAAAAHLl/eE=")</f>
        <v>#VALUE!</v>
      </c>
      <c r="HS3" t="e">
        <f>AND(Mammals!AG12,"AAAAAHLl/eI=")</f>
        <v>#VALUE!</v>
      </c>
      <c r="HT3">
        <f>IF(Mammals!13:13,"AAAAAHLl/eM=",0)</f>
        <v>0</v>
      </c>
      <c r="HU3" t="e">
        <f>AND(Mammals!A13,"AAAAAHLl/eQ=")</f>
        <v>#VALUE!</v>
      </c>
      <c r="HV3" t="e">
        <f>AND(Mammals!B13,"AAAAAHLl/eU=")</f>
        <v>#VALUE!</v>
      </c>
      <c r="HW3" t="e">
        <f>AND(Mammals!C13,"AAAAAHLl/eY=")</f>
        <v>#VALUE!</v>
      </c>
      <c r="HX3" t="e">
        <f>AND(Mammals!D13,"AAAAAHLl/ec=")</f>
        <v>#VALUE!</v>
      </c>
      <c r="HY3" t="e">
        <f>AND(Mammals!E13,"AAAAAHLl/eg=")</f>
        <v>#VALUE!</v>
      </c>
      <c r="HZ3" t="e">
        <f>AND(Mammals!F13,"AAAAAHLl/ek=")</f>
        <v>#VALUE!</v>
      </c>
      <c r="IA3" t="e">
        <f>AND(Mammals!G13,"AAAAAHLl/eo=")</f>
        <v>#VALUE!</v>
      </c>
      <c r="IB3" t="e">
        <f>AND(Mammals!H13,"AAAAAHLl/es=")</f>
        <v>#VALUE!</v>
      </c>
      <c r="IC3" t="e">
        <f>AND(Mammals!I13,"AAAAAHLl/ew=")</f>
        <v>#VALUE!</v>
      </c>
      <c r="ID3" t="e">
        <f>AND(Mammals!J13,"AAAAAHLl/e0=")</f>
        <v>#VALUE!</v>
      </c>
      <c r="IE3" t="e">
        <f>AND(Mammals!K13,"AAAAAHLl/e4=")</f>
        <v>#VALUE!</v>
      </c>
      <c r="IF3" t="e">
        <f>AND(Mammals!L13,"AAAAAHLl/e8=")</f>
        <v>#VALUE!</v>
      </c>
      <c r="IG3" t="e">
        <f>AND(Mammals!M13,"AAAAAHLl/fA=")</f>
        <v>#VALUE!</v>
      </c>
      <c r="IH3" t="e">
        <f>AND(Mammals!N13,"AAAAAHLl/fE=")</f>
        <v>#VALUE!</v>
      </c>
      <c r="II3" t="e">
        <f>AND(Mammals!O13,"AAAAAHLl/fI=")</f>
        <v>#VALUE!</v>
      </c>
      <c r="IJ3" t="e">
        <f>AND(Mammals!P13,"AAAAAHLl/fM=")</f>
        <v>#VALUE!</v>
      </c>
      <c r="IK3" t="e">
        <f>AND(Mammals!Q13,"AAAAAHLl/fQ=")</f>
        <v>#VALUE!</v>
      </c>
      <c r="IL3" t="e">
        <f>AND(Mammals!R13,"AAAAAHLl/fU=")</f>
        <v>#VALUE!</v>
      </c>
      <c r="IM3" t="e">
        <f>AND(Mammals!S13,"AAAAAHLl/fY=")</f>
        <v>#VALUE!</v>
      </c>
      <c r="IN3" t="e">
        <f>AND(Mammals!T13,"AAAAAHLl/fc=")</f>
        <v>#VALUE!</v>
      </c>
      <c r="IO3" t="e">
        <f>AND(Mammals!U13,"AAAAAHLl/fg=")</f>
        <v>#VALUE!</v>
      </c>
      <c r="IP3" t="e">
        <f>AND(Mammals!V13,"AAAAAHLl/fk=")</f>
        <v>#VALUE!</v>
      </c>
      <c r="IQ3" t="e">
        <f>AND(Mammals!W13,"AAAAAHLl/fo=")</f>
        <v>#VALUE!</v>
      </c>
      <c r="IR3" t="e">
        <f>AND(Mammals!X13,"AAAAAHLl/fs=")</f>
        <v>#VALUE!</v>
      </c>
      <c r="IS3" t="e">
        <f>AND(Mammals!Y13,"AAAAAHLl/fw=")</f>
        <v>#VALUE!</v>
      </c>
      <c r="IT3" t="e">
        <f>AND(Mammals!Z13,"AAAAAHLl/f0=")</f>
        <v>#VALUE!</v>
      </c>
      <c r="IU3" t="e">
        <f>AND(Mammals!AA13,"AAAAAHLl/f4=")</f>
        <v>#VALUE!</v>
      </c>
      <c r="IV3" t="e">
        <f>AND(Mammals!AB13,"AAAAAHLl/f8=")</f>
        <v>#VALUE!</v>
      </c>
    </row>
    <row r="4" spans="1:256">
      <c r="A4" t="e">
        <f>AND(Mammals!AC13,"AAAAAG+uigA=")</f>
        <v>#VALUE!</v>
      </c>
      <c r="B4" t="e">
        <f>AND(Mammals!AD13,"AAAAAG+uigE=")</f>
        <v>#VALUE!</v>
      </c>
      <c r="C4" t="e">
        <f>AND(Mammals!AE13,"AAAAAG+uigI=")</f>
        <v>#VALUE!</v>
      </c>
      <c r="D4" t="e">
        <f>AND(Mammals!AF13,"AAAAAG+uigM=")</f>
        <v>#VALUE!</v>
      </c>
      <c r="E4" t="e">
        <f>AND(Mammals!AG13,"AAAAAG+uigQ=")</f>
        <v>#VALUE!</v>
      </c>
      <c r="F4">
        <f>IF(Mammals!14:14,"AAAAAG+uigU=",0)</f>
        <v>0</v>
      </c>
      <c r="G4" t="e">
        <f>AND(Mammals!A14,"AAAAAG+uigY=")</f>
        <v>#VALUE!</v>
      </c>
      <c r="H4" t="e">
        <f>AND(Mammals!B14,"AAAAAG+uigc=")</f>
        <v>#VALUE!</v>
      </c>
      <c r="I4" t="e">
        <f>AND(Mammals!C14,"AAAAAG+uigg=")</f>
        <v>#VALUE!</v>
      </c>
      <c r="J4" t="e">
        <f>AND(Mammals!D14,"AAAAAG+uigk=")</f>
        <v>#VALUE!</v>
      </c>
      <c r="K4" t="e">
        <f>AND(Mammals!E14,"AAAAAG+uigo=")</f>
        <v>#VALUE!</v>
      </c>
      <c r="L4" t="e">
        <f>AND(Mammals!F14,"AAAAAG+uigs=")</f>
        <v>#VALUE!</v>
      </c>
      <c r="M4" t="e">
        <f>AND(Mammals!G14,"AAAAAG+uigw=")</f>
        <v>#VALUE!</v>
      </c>
      <c r="N4" t="e">
        <f>AND(Mammals!H14,"AAAAAG+uig0=")</f>
        <v>#VALUE!</v>
      </c>
      <c r="O4" t="e">
        <f>AND(Mammals!I14,"AAAAAG+uig4=")</f>
        <v>#VALUE!</v>
      </c>
      <c r="P4" t="e">
        <f>AND(Mammals!J14,"AAAAAG+uig8=")</f>
        <v>#VALUE!</v>
      </c>
      <c r="Q4" t="e">
        <f>AND(Mammals!K14,"AAAAAG+uihA=")</f>
        <v>#VALUE!</v>
      </c>
      <c r="R4" t="e">
        <f>AND(Mammals!L14,"AAAAAG+uihE=")</f>
        <v>#VALUE!</v>
      </c>
      <c r="S4" t="e">
        <f>AND(Mammals!M14,"AAAAAG+uihI=")</f>
        <v>#VALUE!</v>
      </c>
      <c r="T4" t="e">
        <f>AND(Mammals!N14,"AAAAAG+uihM=")</f>
        <v>#VALUE!</v>
      </c>
      <c r="U4" t="e">
        <f>AND(Mammals!O14,"AAAAAG+uihQ=")</f>
        <v>#VALUE!</v>
      </c>
      <c r="V4" t="e">
        <f>AND(Mammals!P14,"AAAAAG+uihU=")</f>
        <v>#VALUE!</v>
      </c>
      <c r="W4" t="e">
        <f>AND(Mammals!Q14,"AAAAAG+uihY=")</f>
        <v>#VALUE!</v>
      </c>
      <c r="X4" t="e">
        <f>AND(Mammals!R14,"AAAAAG+uihc=")</f>
        <v>#VALUE!</v>
      </c>
      <c r="Y4" t="e">
        <f>AND(Mammals!S14,"AAAAAG+uihg=")</f>
        <v>#VALUE!</v>
      </c>
      <c r="Z4" t="e">
        <f>AND(Mammals!T14,"AAAAAG+uihk=")</f>
        <v>#VALUE!</v>
      </c>
      <c r="AA4" t="e">
        <f>AND(Mammals!U14,"AAAAAG+uiho=")</f>
        <v>#VALUE!</v>
      </c>
      <c r="AB4" t="e">
        <f>AND(Mammals!V14,"AAAAAG+uihs=")</f>
        <v>#VALUE!</v>
      </c>
      <c r="AC4" t="e">
        <f>AND(Mammals!W14,"AAAAAG+uihw=")</f>
        <v>#VALUE!</v>
      </c>
      <c r="AD4" t="e">
        <f>AND(Mammals!X14,"AAAAAG+uih0=")</f>
        <v>#VALUE!</v>
      </c>
      <c r="AE4" t="e">
        <f>AND(Mammals!Y14,"AAAAAG+uih4=")</f>
        <v>#VALUE!</v>
      </c>
      <c r="AF4" t="e">
        <f>AND(Mammals!Z14,"AAAAAG+uih8=")</f>
        <v>#VALUE!</v>
      </c>
      <c r="AG4" t="e">
        <f>AND(Mammals!AA14,"AAAAAG+uiiA=")</f>
        <v>#VALUE!</v>
      </c>
      <c r="AH4" t="e">
        <f>AND(Mammals!AB14,"AAAAAG+uiiE=")</f>
        <v>#VALUE!</v>
      </c>
      <c r="AI4" t="e">
        <f>AND(Mammals!AC14,"AAAAAG+uiiI=")</f>
        <v>#VALUE!</v>
      </c>
      <c r="AJ4" t="e">
        <f>AND(Mammals!AD14,"AAAAAG+uiiM=")</f>
        <v>#VALUE!</v>
      </c>
      <c r="AK4" t="e">
        <f>AND(Mammals!AE14,"AAAAAG+uiiQ=")</f>
        <v>#VALUE!</v>
      </c>
      <c r="AL4" t="e">
        <f>AND(Mammals!AF14,"AAAAAG+uiiU=")</f>
        <v>#VALUE!</v>
      </c>
      <c r="AM4" t="e">
        <f>AND(Mammals!AG14,"AAAAAG+uiiY=")</f>
        <v>#VALUE!</v>
      </c>
      <c r="AN4">
        <f>IF(Mammals!15:15,"AAAAAG+uiic=",0)</f>
        <v>0</v>
      </c>
      <c r="AO4" t="e">
        <f>AND(Mammals!A15,"AAAAAG+uiig=")</f>
        <v>#VALUE!</v>
      </c>
      <c r="AP4" t="e">
        <f>AND(Mammals!B15,"AAAAAG+uiik=")</f>
        <v>#VALUE!</v>
      </c>
      <c r="AQ4" t="e">
        <f>AND(Mammals!C15,"AAAAAG+uiio=")</f>
        <v>#VALUE!</v>
      </c>
      <c r="AR4" t="e">
        <f>AND(Mammals!D15,"AAAAAG+uiis=")</f>
        <v>#VALUE!</v>
      </c>
      <c r="AS4" t="e">
        <f>AND(Mammals!E15,"AAAAAG+uiiw=")</f>
        <v>#VALUE!</v>
      </c>
      <c r="AT4" t="e">
        <f>AND(Mammals!F15,"AAAAAG+uii0=")</f>
        <v>#VALUE!</v>
      </c>
      <c r="AU4" t="e">
        <f>AND(Mammals!G15,"AAAAAG+uii4=")</f>
        <v>#VALUE!</v>
      </c>
      <c r="AV4" t="e">
        <f>AND(Mammals!H15,"AAAAAG+uii8=")</f>
        <v>#VALUE!</v>
      </c>
      <c r="AW4" t="e">
        <f>AND(Mammals!I15,"AAAAAG+uijA=")</f>
        <v>#VALUE!</v>
      </c>
      <c r="AX4" t="e">
        <f>AND(Mammals!J15,"AAAAAG+uijE=")</f>
        <v>#VALUE!</v>
      </c>
      <c r="AY4" t="e">
        <f>AND(Mammals!K15,"AAAAAG+uijI=")</f>
        <v>#VALUE!</v>
      </c>
      <c r="AZ4" t="e">
        <f>AND(Mammals!L15,"AAAAAG+uijM=")</f>
        <v>#VALUE!</v>
      </c>
      <c r="BA4" t="e">
        <f>AND(Mammals!M15,"AAAAAG+uijQ=")</f>
        <v>#VALUE!</v>
      </c>
      <c r="BB4" t="e">
        <f>AND(Mammals!N15,"AAAAAG+uijU=")</f>
        <v>#VALUE!</v>
      </c>
      <c r="BC4" t="e">
        <f>AND(Mammals!O15,"AAAAAG+uijY=")</f>
        <v>#VALUE!</v>
      </c>
      <c r="BD4" t="e">
        <f>AND(Mammals!P15,"AAAAAG+uijc=")</f>
        <v>#VALUE!</v>
      </c>
      <c r="BE4" t="e">
        <f>AND(Mammals!Q15,"AAAAAG+uijg=")</f>
        <v>#VALUE!</v>
      </c>
      <c r="BF4" t="e">
        <f>AND(Mammals!R15,"AAAAAG+uijk=")</f>
        <v>#VALUE!</v>
      </c>
      <c r="BG4" t="e">
        <f>AND(Mammals!S15,"AAAAAG+uijo=")</f>
        <v>#VALUE!</v>
      </c>
      <c r="BH4" t="e">
        <f>AND(Mammals!T15,"AAAAAG+uijs=")</f>
        <v>#VALUE!</v>
      </c>
      <c r="BI4" t="e">
        <f>AND(Mammals!U15,"AAAAAG+uijw=")</f>
        <v>#VALUE!</v>
      </c>
      <c r="BJ4" t="e">
        <f>AND(Mammals!V15,"AAAAAG+uij0=")</f>
        <v>#VALUE!</v>
      </c>
      <c r="BK4" t="e">
        <f>AND(Mammals!W15,"AAAAAG+uij4=")</f>
        <v>#VALUE!</v>
      </c>
      <c r="BL4" t="e">
        <f>AND(Mammals!X15,"AAAAAG+uij8=")</f>
        <v>#VALUE!</v>
      </c>
      <c r="BM4" t="e">
        <f>AND(Mammals!Y15,"AAAAAG+uikA=")</f>
        <v>#VALUE!</v>
      </c>
      <c r="BN4" t="e">
        <f>AND(Mammals!Z15,"AAAAAG+uikE=")</f>
        <v>#VALUE!</v>
      </c>
      <c r="BO4" t="e">
        <f>AND(Mammals!AA15,"AAAAAG+uikI=")</f>
        <v>#VALUE!</v>
      </c>
      <c r="BP4" t="e">
        <f>AND(Mammals!AB15,"AAAAAG+uikM=")</f>
        <v>#VALUE!</v>
      </c>
      <c r="BQ4" t="e">
        <f>AND(Mammals!AC15,"AAAAAG+uikQ=")</f>
        <v>#VALUE!</v>
      </c>
      <c r="BR4" t="e">
        <f>AND(Mammals!AD15,"AAAAAG+uikU=")</f>
        <v>#VALUE!</v>
      </c>
      <c r="BS4" t="e">
        <f>AND(Mammals!AE15,"AAAAAG+uikY=")</f>
        <v>#VALUE!</v>
      </c>
      <c r="BT4" t="e">
        <f>AND(Mammals!AF15,"AAAAAG+uikc=")</f>
        <v>#VALUE!</v>
      </c>
      <c r="BU4" t="e">
        <f>AND(Mammals!AG15,"AAAAAG+uikg=")</f>
        <v>#VALUE!</v>
      </c>
      <c r="BV4">
        <f>IF(Mammals!16:16,"AAAAAG+uikk=",0)</f>
        <v>0</v>
      </c>
      <c r="BW4" t="e">
        <f>AND(Mammals!A16,"AAAAAG+uiko=")</f>
        <v>#VALUE!</v>
      </c>
      <c r="BX4" t="e">
        <f>AND(Mammals!B16,"AAAAAG+uiks=")</f>
        <v>#VALUE!</v>
      </c>
      <c r="BY4" t="e">
        <f>AND(Mammals!C16,"AAAAAG+uikw=")</f>
        <v>#VALUE!</v>
      </c>
      <c r="BZ4" t="e">
        <f>AND(Mammals!D16,"AAAAAG+uik0=")</f>
        <v>#VALUE!</v>
      </c>
      <c r="CA4" t="e">
        <f>AND(Mammals!E16,"AAAAAG+uik4=")</f>
        <v>#VALUE!</v>
      </c>
      <c r="CB4" t="e">
        <f>AND(Mammals!F16,"AAAAAG+uik8=")</f>
        <v>#VALUE!</v>
      </c>
      <c r="CC4" t="e">
        <f>AND(Mammals!G16,"AAAAAG+uilA=")</f>
        <v>#VALUE!</v>
      </c>
      <c r="CD4" t="e">
        <f>AND(Mammals!H16,"AAAAAG+uilE=")</f>
        <v>#VALUE!</v>
      </c>
      <c r="CE4" t="e">
        <f>AND(Mammals!I16,"AAAAAG+uilI=")</f>
        <v>#VALUE!</v>
      </c>
      <c r="CF4" t="e">
        <f>AND(Mammals!J16,"AAAAAG+uilM=")</f>
        <v>#VALUE!</v>
      </c>
      <c r="CG4" t="e">
        <f>AND(Mammals!K16,"AAAAAG+uilQ=")</f>
        <v>#VALUE!</v>
      </c>
      <c r="CH4" t="e">
        <f>AND(Mammals!L16,"AAAAAG+uilU=")</f>
        <v>#VALUE!</v>
      </c>
      <c r="CI4" t="e">
        <f>AND(Mammals!M16,"AAAAAG+uilY=")</f>
        <v>#VALUE!</v>
      </c>
      <c r="CJ4" t="e">
        <f>AND(Mammals!N16,"AAAAAG+uilc=")</f>
        <v>#VALUE!</v>
      </c>
      <c r="CK4" t="e">
        <f>AND(Mammals!O16,"AAAAAG+uilg=")</f>
        <v>#VALUE!</v>
      </c>
      <c r="CL4" t="e">
        <f>AND(Mammals!P16,"AAAAAG+uilk=")</f>
        <v>#VALUE!</v>
      </c>
      <c r="CM4" t="e">
        <f>AND(Mammals!Q16,"AAAAAG+uilo=")</f>
        <v>#VALUE!</v>
      </c>
      <c r="CN4" t="e">
        <f>AND(Mammals!R16,"AAAAAG+uils=")</f>
        <v>#VALUE!</v>
      </c>
      <c r="CO4" t="e">
        <f>AND(Mammals!S16,"AAAAAG+uilw=")</f>
        <v>#VALUE!</v>
      </c>
      <c r="CP4" t="e">
        <f>AND(Mammals!T16,"AAAAAG+uil0=")</f>
        <v>#VALUE!</v>
      </c>
      <c r="CQ4" t="e">
        <f>AND(Mammals!U16,"AAAAAG+uil4=")</f>
        <v>#VALUE!</v>
      </c>
      <c r="CR4" t="e">
        <f>AND(Mammals!V16,"AAAAAG+uil8=")</f>
        <v>#VALUE!</v>
      </c>
      <c r="CS4" t="e">
        <f>AND(Mammals!W16,"AAAAAG+uimA=")</f>
        <v>#VALUE!</v>
      </c>
      <c r="CT4" t="e">
        <f>AND(Mammals!X16,"AAAAAG+uimE=")</f>
        <v>#VALUE!</v>
      </c>
      <c r="CU4" t="e">
        <f>AND(Mammals!Y16,"AAAAAG+uimI=")</f>
        <v>#VALUE!</v>
      </c>
      <c r="CV4" t="e">
        <f>AND(Mammals!Z16,"AAAAAG+uimM=")</f>
        <v>#VALUE!</v>
      </c>
      <c r="CW4" t="e">
        <f>AND(Mammals!AA16,"AAAAAG+uimQ=")</f>
        <v>#VALUE!</v>
      </c>
      <c r="CX4" t="e">
        <f>AND(Mammals!AB16,"AAAAAG+uimU=")</f>
        <v>#VALUE!</v>
      </c>
      <c r="CY4" t="e">
        <f>AND(Mammals!AC16,"AAAAAG+uimY=")</f>
        <v>#VALUE!</v>
      </c>
      <c r="CZ4" t="e">
        <f>AND(Mammals!AD16,"AAAAAG+uimc=")</f>
        <v>#VALUE!</v>
      </c>
      <c r="DA4" t="e">
        <f>AND(Mammals!AE16,"AAAAAG+uimg=")</f>
        <v>#VALUE!</v>
      </c>
      <c r="DB4" t="e">
        <f>AND(Mammals!AF16,"AAAAAG+uimk=")</f>
        <v>#VALUE!</v>
      </c>
      <c r="DC4" t="e">
        <f>AND(Mammals!AG16,"AAAAAG+uimo=")</f>
        <v>#VALUE!</v>
      </c>
      <c r="DD4">
        <f>IF(Mammals!17:17,"AAAAAG+uims=",0)</f>
        <v>0</v>
      </c>
      <c r="DE4" t="e">
        <f>AND(Mammals!A17,"AAAAAG+uimw=")</f>
        <v>#VALUE!</v>
      </c>
      <c r="DF4" t="e">
        <f>AND(Mammals!B17,"AAAAAG+uim0=")</f>
        <v>#VALUE!</v>
      </c>
      <c r="DG4" t="e">
        <f>AND(Mammals!C17,"AAAAAG+uim4=")</f>
        <v>#VALUE!</v>
      </c>
      <c r="DH4" t="e">
        <f>AND(Mammals!D17,"AAAAAG+uim8=")</f>
        <v>#VALUE!</v>
      </c>
      <c r="DI4" t="e">
        <f>AND(Mammals!E17,"AAAAAG+uinA=")</f>
        <v>#VALUE!</v>
      </c>
      <c r="DJ4" t="e">
        <f>AND(Mammals!F17,"AAAAAG+uinE=")</f>
        <v>#VALUE!</v>
      </c>
      <c r="DK4" t="e">
        <f>AND(Mammals!G17,"AAAAAG+uinI=")</f>
        <v>#VALUE!</v>
      </c>
      <c r="DL4" t="e">
        <f>AND(Mammals!H17,"AAAAAG+uinM=")</f>
        <v>#VALUE!</v>
      </c>
      <c r="DM4" t="e">
        <f>AND(Mammals!I17,"AAAAAG+uinQ=")</f>
        <v>#VALUE!</v>
      </c>
      <c r="DN4" t="e">
        <f>AND(Mammals!J17,"AAAAAG+uinU=")</f>
        <v>#VALUE!</v>
      </c>
      <c r="DO4" t="e">
        <f>AND(Mammals!K17,"AAAAAG+uinY=")</f>
        <v>#VALUE!</v>
      </c>
      <c r="DP4" t="e">
        <f>AND(Mammals!L17,"AAAAAG+uinc=")</f>
        <v>#VALUE!</v>
      </c>
      <c r="DQ4" t="e">
        <f>AND(Mammals!M17,"AAAAAG+uing=")</f>
        <v>#VALUE!</v>
      </c>
      <c r="DR4" t="e">
        <f>AND(Mammals!N17,"AAAAAG+uink=")</f>
        <v>#VALUE!</v>
      </c>
      <c r="DS4" t="e">
        <f>AND(Mammals!O17,"AAAAAG+uino=")</f>
        <v>#VALUE!</v>
      </c>
      <c r="DT4" t="e">
        <f>AND(Mammals!P17,"AAAAAG+uins=")</f>
        <v>#VALUE!</v>
      </c>
      <c r="DU4" t="e">
        <f>AND(Mammals!Q17,"AAAAAG+uinw=")</f>
        <v>#VALUE!</v>
      </c>
      <c r="DV4" t="e">
        <f>AND(Mammals!R17,"AAAAAG+uin0=")</f>
        <v>#VALUE!</v>
      </c>
      <c r="DW4" t="e">
        <f>AND(Mammals!S17,"AAAAAG+uin4=")</f>
        <v>#VALUE!</v>
      </c>
      <c r="DX4" t="e">
        <f>AND(Mammals!T17,"AAAAAG+uin8=")</f>
        <v>#VALUE!</v>
      </c>
      <c r="DY4" t="e">
        <f>AND(Mammals!U17,"AAAAAG+uioA=")</f>
        <v>#VALUE!</v>
      </c>
      <c r="DZ4" t="e">
        <f>AND(Mammals!V17,"AAAAAG+uioE=")</f>
        <v>#VALUE!</v>
      </c>
      <c r="EA4" t="e">
        <f>AND(Mammals!W17,"AAAAAG+uioI=")</f>
        <v>#VALUE!</v>
      </c>
      <c r="EB4" t="e">
        <f>AND(Mammals!X17,"AAAAAG+uioM=")</f>
        <v>#VALUE!</v>
      </c>
      <c r="EC4" t="e">
        <f>AND(Mammals!Y17,"AAAAAG+uioQ=")</f>
        <v>#VALUE!</v>
      </c>
      <c r="ED4" t="e">
        <f>AND(Mammals!Z17,"AAAAAG+uioU=")</f>
        <v>#VALUE!</v>
      </c>
      <c r="EE4" t="e">
        <f>AND(Mammals!AA17,"AAAAAG+uioY=")</f>
        <v>#VALUE!</v>
      </c>
      <c r="EF4" t="e">
        <f>AND(Mammals!AB17,"AAAAAG+uioc=")</f>
        <v>#VALUE!</v>
      </c>
      <c r="EG4" t="e">
        <f>AND(Mammals!AC17,"AAAAAG+uiog=")</f>
        <v>#VALUE!</v>
      </c>
      <c r="EH4" t="e">
        <f>AND(Mammals!AD17,"AAAAAG+uiok=")</f>
        <v>#VALUE!</v>
      </c>
      <c r="EI4" t="e">
        <f>AND(Mammals!AE17,"AAAAAG+uioo=")</f>
        <v>#VALUE!</v>
      </c>
      <c r="EJ4" t="e">
        <f>AND(Mammals!AF17,"AAAAAG+uios=")</f>
        <v>#VALUE!</v>
      </c>
      <c r="EK4" t="e">
        <f>AND(Mammals!AG17,"AAAAAG+uiow=")</f>
        <v>#VALUE!</v>
      </c>
      <c r="EL4">
        <f>IF(Mammals!18:18,"AAAAAG+uio0=",0)</f>
        <v>0</v>
      </c>
      <c r="EM4" t="e">
        <f>AND(Mammals!A18,"AAAAAG+uio4=")</f>
        <v>#VALUE!</v>
      </c>
      <c r="EN4" t="e">
        <f>AND(Mammals!B18,"AAAAAG+uio8=")</f>
        <v>#VALUE!</v>
      </c>
      <c r="EO4" t="e">
        <f>AND(Mammals!C18,"AAAAAG+uipA=")</f>
        <v>#VALUE!</v>
      </c>
      <c r="EP4" t="e">
        <f>AND(Mammals!D18,"AAAAAG+uipE=")</f>
        <v>#VALUE!</v>
      </c>
      <c r="EQ4" t="e">
        <f>AND(Mammals!E18,"AAAAAG+uipI=")</f>
        <v>#VALUE!</v>
      </c>
      <c r="ER4" t="e">
        <f>AND(Mammals!F18,"AAAAAG+uipM=")</f>
        <v>#VALUE!</v>
      </c>
      <c r="ES4" t="e">
        <f>AND(Mammals!G18,"AAAAAG+uipQ=")</f>
        <v>#VALUE!</v>
      </c>
      <c r="ET4" t="e">
        <f>AND(Mammals!H18,"AAAAAG+uipU=")</f>
        <v>#VALUE!</v>
      </c>
      <c r="EU4" t="e">
        <f>AND(Mammals!I18,"AAAAAG+uipY=")</f>
        <v>#VALUE!</v>
      </c>
      <c r="EV4" t="e">
        <f>AND(Mammals!J18,"AAAAAG+uipc=")</f>
        <v>#VALUE!</v>
      </c>
      <c r="EW4" t="e">
        <f>AND(Mammals!K18,"AAAAAG+uipg=")</f>
        <v>#VALUE!</v>
      </c>
      <c r="EX4" t="e">
        <f>AND(Mammals!L18,"AAAAAG+uipk=")</f>
        <v>#VALUE!</v>
      </c>
      <c r="EY4" t="e">
        <f>AND(Mammals!M18,"AAAAAG+uipo=")</f>
        <v>#VALUE!</v>
      </c>
      <c r="EZ4" t="e">
        <f>AND(Mammals!N18,"AAAAAG+uips=")</f>
        <v>#VALUE!</v>
      </c>
      <c r="FA4" t="e">
        <f>AND(Mammals!O18,"AAAAAG+uipw=")</f>
        <v>#VALUE!</v>
      </c>
      <c r="FB4" t="e">
        <f>AND(Mammals!P18,"AAAAAG+uip0=")</f>
        <v>#VALUE!</v>
      </c>
      <c r="FC4" t="e">
        <f>AND(Mammals!Q18,"AAAAAG+uip4=")</f>
        <v>#VALUE!</v>
      </c>
      <c r="FD4" t="e">
        <f>AND(Mammals!R18,"AAAAAG+uip8=")</f>
        <v>#VALUE!</v>
      </c>
      <c r="FE4" t="e">
        <f>AND(Mammals!S18,"AAAAAG+uiqA=")</f>
        <v>#VALUE!</v>
      </c>
      <c r="FF4" t="e">
        <f>AND(Mammals!T18,"AAAAAG+uiqE=")</f>
        <v>#VALUE!</v>
      </c>
      <c r="FG4" t="e">
        <f>AND(Mammals!U18,"AAAAAG+uiqI=")</f>
        <v>#VALUE!</v>
      </c>
      <c r="FH4" t="e">
        <f>AND(Mammals!V18,"AAAAAG+uiqM=")</f>
        <v>#VALUE!</v>
      </c>
      <c r="FI4" t="e">
        <f>AND(Mammals!W18,"AAAAAG+uiqQ=")</f>
        <v>#VALUE!</v>
      </c>
      <c r="FJ4" t="e">
        <f>AND(Mammals!X18,"AAAAAG+uiqU=")</f>
        <v>#VALUE!</v>
      </c>
      <c r="FK4" t="e">
        <f>AND(Mammals!Y18,"AAAAAG+uiqY=")</f>
        <v>#VALUE!</v>
      </c>
      <c r="FL4" t="e">
        <f>AND(Mammals!Z18,"AAAAAG+uiqc=")</f>
        <v>#VALUE!</v>
      </c>
      <c r="FM4" t="e">
        <f>AND(Mammals!AA18,"AAAAAG+uiqg=")</f>
        <v>#VALUE!</v>
      </c>
      <c r="FN4" t="e">
        <f>AND(Mammals!AB18,"AAAAAG+uiqk=")</f>
        <v>#VALUE!</v>
      </c>
      <c r="FO4" t="e">
        <f>AND(Mammals!AC18,"AAAAAG+uiqo=")</f>
        <v>#VALUE!</v>
      </c>
      <c r="FP4" t="e">
        <f>AND(Mammals!AD18,"AAAAAG+uiqs=")</f>
        <v>#VALUE!</v>
      </c>
      <c r="FQ4" t="e">
        <f>AND(Mammals!AE18,"AAAAAG+uiqw=")</f>
        <v>#VALUE!</v>
      </c>
      <c r="FR4" t="e">
        <f>AND(Mammals!AF18,"AAAAAG+uiq0=")</f>
        <v>#VALUE!</v>
      </c>
      <c r="FS4" t="e">
        <f>AND(Mammals!AG18,"AAAAAG+uiq4=")</f>
        <v>#VALUE!</v>
      </c>
      <c r="FT4">
        <f>IF(Mammals!19:19,"AAAAAG+uiq8=",0)</f>
        <v>0</v>
      </c>
      <c r="FU4" t="e">
        <f>AND(Mammals!A19,"AAAAAG+uirA=")</f>
        <v>#VALUE!</v>
      </c>
      <c r="FV4" t="e">
        <f>AND(Mammals!B19,"AAAAAG+uirE=")</f>
        <v>#VALUE!</v>
      </c>
      <c r="FW4" t="e">
        <f>AND(Mammals!C19,"AAAAAG+uirI=")</f>
        <v>#VALUE!</v>
      </c>
      <c r="FX4" t="e">
        <f>AND(Mammals!D19,"AAAAAG+uirM=")</f>
        <v>#VALUE!</v>
      </c>
      <c r="FY4" t="e">
        <f>AND(Mammals!E19,"AAAAAG+uirQ=")</f>
        <v>#VALUE!</v>
      </c>
      <c r="FZ4" t="e">
        <f>AND(Mammals!F19,"AAAAAG+uirU=")</f>
        <v>#VALUE!</v>
      </c>
      <c r="GA4" t="e">
        <f>AND(Mammals!G19,"AAAAAG+uirY=")</f>
        <v>#VALUE!</v>
      </c>
      <c r="GB4" t="e">
        <f>AND(Mammals!H19,"AAAAAG+uirc=")</f>
        <v>#VALUE!</v>
      </c>
      <c r="GC4" t="e">
        <f>AND(Mammals!I19,"AAAAAG+uirg=")</f>
        <v>#VALUE!</v>
      </c>
      <c r="GD4" t="e">
        <f>AND(Mammals!J19,"AAAAAG+uirk=")</f>
        <v>#VALUE!</v>
      </c>
      <c r="GE4" t="e">
        <f>AND(Mammals!K19,"AAAAAG+uiro=")</f>
        <v>#VALUE!</v>
      </c>
      <c r="GF4" t="e">
        <f>AND(Mammals!L19,"AAAAAG+uirs=")</f>
        <v>#VALUE!</v>
      </c>
      <c r="GG4" t="e">
        <f>AND(Mammals!M19,"AAAAAG+uirw=")</f>
        <v>#VALUE!</v>
      </c>
      <c r="GH4" t="e">
        <f>AND(Mammals!N19,"AAAAAG+uir0=")</f>
        <v>#VALUE!</v>
      </c>
      <c r="GI4" t="e">
        <f>AND(Mammals!O19,"AAAAAG+uir4=")</f>
        <v>#VALUE!</v>
      </c>
      <c r="GJ4" t="e">
        <f>AND(Mammals!P19,"AAAAAG+uir8=")</f>
        <v>#VALUE!</v>
      </c>
      <c r="GK4" t="e">
        <f>AND(Mammals!Q19,"AAAAAG+uisA=")</f>
        <v>#VALUE!</v>
      </c>
      <c r="GL4" t="e">
        <f>AND(Mammals!R19,"AAAAAG+uisE=")</f>
        <v>#VALUE!</v>
      </c>
      <c r="GM4" t="e">
        <f>AND(Mammals!S19,"AAAAAG+uisI=")</f>
        <v>#VALUE!</v>
      </c>
      <c r="GN4" t="e">
        <f>AND(Mammals!T19,"AAAAAG+uisM=")</f>
        <v>#VALUE!</v>
      </c>
      <c r="GO4" t="e">
        <f>AND(Mammals!U19,"AAAAAG+uisQ=")</f>
        <v>#VALUE!</v>
      </c>
      <c r="GP4" t="e">
        <f>AND(Mammals!V19,"AAAAAG+uisU=")</f>
        <v>#VALUE!</v>
      </c>
      <c r="GQ4" t="e">
        <f>AND(Mammals!W19,"AAAAAG+uisY=")</f>
        <v>#VALUE!</v>
      </c>
      <c r="GR4" t="e">
        <f>AND(Mammals!X19,"AAAAAG+uisc=")</f>
        <v>#VALUE!</v>
      </c>
      <c r="GS4" t="e">
        <f>AND(Mammals!Y19,"AAAAAG+uisg=")</f>
        <v>#VALUE!</v>
      </c>
      <c r="GT4" t="e">
        <f>AND(Mammals!Z19,"AAAAAG+uisk=")</f>
        <v>#VALUE!</v>
      </c>
      <c r="GU4" t="e">
        <f>AND(Mammals!AA19,"AAAAAG+uiso=")</f>
        <v>#VALUE!</v>
      </c>
      <c r="GV4" t="e">
        <f>AND(Mammals!AB19,"AAAAAG+uiss=")</f>
        <v>#VALUE!</v>
      </c>
      <c r="GW4" t="e">
        <f>AND(Mammals!AC19,"AAAAAG+uisw=")</f>
        <v>#VALUE!</v>
      </c>
      <c r="GX4" t="e">
        <f>AND(Mammals!AD19,"AAAAAG+uis0=")</f>
        <v>#VALUE!</v>
      </c>
      <c r="GY4" t="e">
        <f>AND(Mammals!AE19,"AAAAAG+uis4=")</f>
        <v>#VALUE!</v>
      </c>
      <c r="GZ4" t="e">
        <f>AND(Mammals!AF19,"AAAAAG+uis8=")</f>
        <v>#VALUE!</v>
      </c>
      <c r="HA4" t="e">
        <f>AND(Mammals!AG19,"AAAAAG+uitA=")</f>
        <v>#VALUE!</v>
      </c>
      <c r="HB4">
        <f>IF(Mammals!20:20,"AAAAAG+uitE=",0)</f>
        <v>0</v>
      </c>
      <c r="HC4" t="e">
        <f>AND(Mammals!A20,"AAAAAG+uitI=")</f>
        <v>#VALUE!</v>
      </c>
      <c r="HD4" t="e">
        <f>AND(Mammals!B20,"AAAAAG+uitM=")</f>
        <v>#VALUE!</v>
      </c>
      <c r="HE4" t="e">
        <f>AND(Mammals!C20,"AAAAAG+uitQ=")</f>
        <v>#VALUE!</v>
      </c>
      <c r="HF4" t="e">
        <f>AND(Mammals!D20,"AAAAAG+uitU=")</f>
        <v>#VALUE!</v>
      </c>
      <c r="HG4" t="e">
        <f>AND(Mammals!E20,"AAAAAG+uitY=")</f>
        <v>#VALUE!</v>
      </c>
      <c r="HH4" t="e">
        <f>AND(Mammals!F20,"AAAAAG+uitc=")</f>
        <v>#VALUE!</v>
      </c>
      <c r="HI4" t="e">
        <f>AND(Mammals!G20,"AAAAAG+uitg=")</f>
        <v>#VALUE!</v>
      </c>
      <c r="HJ4" t="e">
        <f>AND(Mammals!H20,"AAAAAG+uitk=")</f>
        <v>#VALUE!</v>
      </c>
      <c r="HK4" t="e">
        <f>AND(Mammals!I20,"AAAAAG+uito=")</f>
        <v>#VALUE!</v>
      </c>
      <c r="HL4" t="e">
        <f>AND(Mammals!J20,"AAAAAG+uits=")</f>
        <v>#VALUE!</v>
      </c>
      <c r="HM4" t="e">
        <f>AND(Mammals!K20,"AAAAAG+uitw=")</f>
        <v>#VALUE!</v>
      </c>
      <c r="HN4" t="e">
        <f>AND(Mammals!L20,"AAAAAG+uit0=")</f>
        <v>#VALUE!</v>
      </c>
      <c r="HO4" t="e">
        <f>AND(Mammals!M20,"AAAAAG+uit4=")</f>
        <v>#VALUE!</v>
      </c>
      <c r="HP4" t="e">
        <f>AND(Mammals!N20,"AAAAAG+uit8=")</f>
        <v>#VALUE!</v>
      </c>
      <c r="HQ4" t="e">
        <f>AND(Mammals!O20,"AAAAAG+uiuA=")</f>
        <v>#VALUE!</v>
      </c>
      <c r="HR4" t="e">
        <f>AND(Mammals!P20,"AAAAAG+uiuE=")</f>
        <v>#VALUE!</v>
      </c>
      <c r="HS4" t="e">
        <f>AND(Mammals!Q20,"AAAAAG+uiuI=")</f>
        <v>#VALUE!</v>
      </c>
      <c r="HT4" t="e">
        <f>AND(Mammals!R20,"AAAAAG+uiuM=")</f>
        <v>#VALUE!</v>
      </c>
      <c r="HU4" t="e">
        <f>AND(Mammals!S20,"AAAAAG+uiuQ=")</f>
        <v>#VALUE!</v>
      </c>
      <c r="HV4" t="e">
        <f>AND(Mammals!T20,"AAAAAG+uiuU=")</f>
        <v>#VALUE!</v>
      </c>
      <c r="HW4" t="e">
        <f>AND(Mammals!U20,"AAAAAG+uiuY=")</f>
        <v>#VALUE!</v>
      </c>
      <c r="HX4" t="e">
        <f>AND(Mammals!V20,"AAAAAG+uiuc=")</f>
        <v>#VALUE!</v>
      </c>
      <c r="HY4" t="e">
        <f>AND(Mammals!W20,"AAAAAG+uiug=")</f>
        <v>#VALUE!</v>
      </c>
      <c r="HZ4" t="e">
        <f>AND(Mammals!X20,"AAAAAG+uiuk=")</f>
        <v>#VALUE!</v>
      </c>
      <c r="IA4" t="e">
        <f>AND(Mammals!Y20,"AAAAAG+uiuo=")</f>
        <v>#VALUE!</v>
      </c>
      <c r="IB4" t="e">
        <f>AND(Mammals!Z20,"AAAAAG+uius=")</f>
        <v>#VALUE!</v>
      </c>
      <c r="IC4" t="e">
        <f>AND(Mammals!AA20,"AAAAAG+uiuw=")</f>
        <v>#VALUE!</v>
      </c>
      <c r="ID4" t="e">
        <f>AND(Mammals!AB20,"AAAAAG+uiu0=")</f>
        <v>#VALUE!</v>
      </c>
      <c r="IE4" t="e">
        <f>AND(Mammals!AC20,"AAAAAG+uiu4=")</f>
        <v>#VALUE!</v>
      </c>
      <c r="IF4" t="e">
        <f>AND(Mammals!AD20,"AAAAAG+uiu8=")</f>
        <v>#VALUE!</v>
      </c>
      <c r="IG4" t="e">
        <f>AND(Mammals!AE20,"AAAAAG+uivA=")</f>
        <v>#VALUE!</v>
      </c>
      <c r="IH4" t="e">
        <f>AND(Mammals!AF20,"AAAAAG+uivE=")</f>
        <v>#VALUE!</v>
      </c>
      <c r="II4" t="e">
        <f>AND(Mammals!AG20,"AAAAAG+uivI=")</f>
        <v>#VALUE!</v>
      </c>
      <c r="IJ4">
        <f>IF(Mammals!21:21,"AAAAAG+uivM=",0)</f>
        <v>0</v>
      </c>
      <c r="IK4" t="str">
        <f>IF(Mammals!A:A,"AAAAAG+uivQ=",0)</f>
        <v>AAAAAG+uivQ=</v>
      </c>
      <c r="IL4" t="e">
        <f>IF(Mammals!B:B,"AAAAAG+uivU=",0)</f>
        <v>#VALUE!</v>
      </c>
      <c r="IM4" t="e">
        <f>IF(Mammals!C:C,"AAAAAG+uivY=",0)</f>
        <v>#VALUE!</v>
      </c>
      <c r="IN4" t="e">
        <f>IF(Mammals!D:D,"AAAAAG+uivc=",0)</f>
        <v>#VALUE!</v>
      </c>
      <c r="IO4">
        <f>IF(Mammals!E:E,"AAAAAG+uivg=",0)</f>
        <v>0</v>
      </c>
      <c r="IP4">
        <f>IF(Mammals!F:F,"AAAAAG+uivk=",0)</f>
        <v>0</v>
      </c>
      <c r="IQ4">
        <f>IF(Mammals!G:G,"AAAAAG+uivo=",0)</f>
        <v>0</v>
      </c>
      <c r="IR4">
        <f>IF(Mammals!H:H,"AAAAAG+uivs=",0)</f>
        <v>0</v>
      </c>
      <c r="IS4">
        <f>IF(Mammals!I:I,"AAAAAG+uivw=",0)</f>
        <v>0</v>
      </c>
      <c r="IT4">
        <f>IF(Mammals!J:J,"AAAAAG+uiv0=",0)</f>
        <v>0</v>
      </c>
      <c r="IU4">
        <f>IF(Mammals!K:K,"AAAAAG+uiv4=",0)</f>
        <v>0</v>
      </c>
      <c r="IV4">
        <f>IF(Mammals!L:L,"AAAAAG+uiv8=",0)</f>
        <v>0</v>
      </c>
    </row>
    <row r="5" spans="1:256">
      <c r="A5">
        <f>IF(Mammals!M:M,"AAAAADj3+wA=",0)</f>
        <v>0</v>
      </c>
      <c r="B5">
        <f>IF(Mammals!N:N,"AAAAADj3+wE=",0)</f>
        <v>0</v>
      </c>
      <c r="C5">
        <f>IF(Mammals!O:O,"AAAAADj3+wI=",0)</f>
        <v>0</v>
      </c>
      <c r="D5">
        <f>IF(Mammals!P:P,"AAAAADj3+wM=",0)</f>
        <v>0</v>
      </c>
      <c r="E5">
        <f>IF(Mammals!Q:Q,"AAAAADj3+wQ=",0)</f>
        <v>0</v>
      </c>
      <c r="F5">
        <f>IF(Mammals!R:R,"AAAAADj3+wU=",0)</f>
        <v>0</v>
      </c>
      <c r="G5">
        <f>IF(Mammals!S:S,"AAAAADj3+wY=",0)</f>
        <v>0</v>
      </c>
      <c r="H5">
        <f>IF(Mammals!T:T,"AAAAADj3+wc=",0)</f>
        <v>0</v>
      </c>
      <c r="I5">
        <f>IF(Mammals!U:U,"AAAAADj3+wg=",0)</f>
        <v>0</v>
      </c>
      <c r="J5">
        <f>IF(Mammals!V:V,"AAAAADj3+wk=",0)</f>
        <v>0</v>
      </c>
      <c r="K5">
        <f>IF(Mammals!W:W,"AAAAADj3+wo=",0)</f>
        <v>0</v>
      </c>
      <c r="L5">
        <f>IF(Mammals!X:X,"AAAAADj3+ws=",0)</f>
        <v>0</v>
      </c>
      <c r="M5">
        <f>IF(Mammals!Y:Y,"AAAAADj3+ww=",0)</f>
        <v>0</v>
      </c>
      <c r="N5">
        <f>IF(Mammals!Z:Z,"AAAAADj3+w0=",0)</f>
        <v>0</v>
      </c>
      <c r="O5">
        <f>IF(Mammals!AA:AA,"AAAAADj3+w4=",0)</f>
        <v>0</v>
      </c>
      <c r="P5">
        <f>IF(Mammals!AB:AB,"AAAAADj3+w8=",0)</f>
        <v>0</v>
      </c>
      <c r="Q5">
        <f>IF(Mammals!AC:AC,"AAAAADj3+xA=",0)</f>
        <v>0</v>
      </c>
      <c r="R5">
        <f>IF(Mammals!AD:AD,"AAAAADj3+xE=",0)</f>
        <v>0</v>
      </c>
      <c r="S5">
        <f>IF(Mammals!AE:AE,"AAAAADj3+xI=",0)</f>
        <v>0</v>
      </c>
      <c r="T5">
        <f>IF(Mammals!AF:AF,"AAAAADj3+xM=",0)</f>
        <v>0</v>
      </c>
      <c r="U5">
        <f>IF(Mammals!AG:AG,"AAAAADj3+xQ=",0)</f>
        <v>0</v>
      </c>
      <c r="V5">
        <f>IF('Aquatic Inverts'!1:1,"AAAAADj3+xU=",0)</f>
        <v>0</v>
      </c>
      <c r="W5" t="e">
        <f>AND('Aquatic Inverts'!A1,"AAAAADj3+xY=")</f>
        <v>#VALUE!</v>
      </c>
      <c r="X5" t="e">
        <f>AND('Aquatic Inverts'!B1,"AAAAADj3+xc=")</f>
        <v>#VALUE!</v>
      </c>
      <c r="Y5" t="e">
        <f>AND('Aquatic Inverts'!C1,"AAAAADj3+xg=")</f>
        <v>#VALUE!</v>
      </c>
      <c r="Z5" t="e">
        <f>AND('Aquatic Inverts'!D1,"AAAAADj3+xk=")</f>
        <v>#VALUE!</v>
      </c>
      <c r="AA5" t="e">
        <f>AND('Aquatic Inverts'!E1,"AAAAADj3+xo=")</f>
        <v>#VALUE!</v>
      </c>
      <c r="AB5" t="e">
        <f>AND('Aquatic Inverts'!F1,"AAAAADj3+xs=")</f>
        <v>#VALUE!</v>
      </c>
      <c r="AC5" t="e">
        <f>AND('Aquatic Inverts'!G1,"AAAAADj3+xw=")</f>
        <v>#VALUE!</v>
      </c>
      <c r="AD5" t="e">
        <f>AND('Aquatic Inverts'!H1,"AAAAADj3+x0=")</f>
        <v>#VALUE!</v>
      </c>
      <c r="AE5" t="e">
        <f>AND('Aquatic Inverts'!I1,"AAAAADj3+x4=")</f>
        <v>#VALUE!</v>
      </c>
      <c r="AF5" t="e">
        <f>AND('Aquatic Inverts'!J1,"AAAAADj3+x8=")</f>
        <v>#VALUE!</v>
      </c>
      <c r="AG5" t="e">
        <f>AND('Aquatic Inverts'!K1,"AAAAADj3+yA=")</f>
        <v>#VALUE!</v>
      </c>
      <c r="AH5" t="e">
        <f>AND('Aquatic Inverts'!L1,"AAAAADj3+yE=")</f>
        <v>#VALUE!</v>
      </c>
      <c r="AI5" t="e">
        <f>AND('Aquatic Inverts'!M1,"AAAAADj3+yI=")</f>
        <v>#VALUE!</v>
      </c>
      <c r="AJ5" t="e">
        <f>AND('Aquatic Inverts'!N1,"AAAAADj3+yM=")</f>
        <v>#VALUE!</v>
      </c>
      <c r="AK5" t="e">
        <f>AND('Aquatic Inverts'!O1,"AAAAADj3+yQ=")</f>
        <v>#VALUE!</v>
      </c>
      <c r="AL5" t="e">
        <f>AND('Aquatic Inverts'!P1,"AAAAADj3+yU=")</f>
        <v>#VALUE!</v>
      </c>
      <c r="AM5" t="e">
        <f>AND('Aquatic Inverts'!Q1,"AAAAADj3+yY=")</f>
        <v>#VALUE!</v>
      </c>
      <c r="AN5" t="e">
        <f>AND('Aquatic Inverts'!R1,"AAAAADj3+yc=")</f>
        <v>#VALUE!</v>
      </c>
      <c r="AO5" t="e">
        <f>AND('Aquatic Inverts'!S1,"AAAAADj3+yg=")</f>
        <v>#VALUE!</v>
      </c>
      <c r="AP5" t="e">
        <f>AND('Aquatic Inverts'!T1,"AAAAADj3+yk=")</f>
        <v>#VALUE!</v>
      </c>
      <c r="AQ5" t="e">
        <f>AND('Aquatic Inverts'!U1,"AAAAADj3+yo=")</f>
        <v>#VALUE!</v>
      </c>
      <c r="AR5" t="e">
        <f>AND('Aquatic Inverts'!V1,"AAAAADj3+ys=")</f>
        <v>#VALUE!</v>
      </c>
      <c r="AS5">
        <f>IF('Aquatic Inverts'!2:2,"AAAAADj3+yw=",0)</f>
        <v>0</v>
      </c>
      <c r="AT5" t="e">
        <f>AND('Aquatic Inverts'!A2,"AAAAADj3+y0=")</f>
        <v>#VALUE!</v>
      </c>
      <c r="AU5" t="e">
        <f>AND('Aquatic Inverts'!B2,"AAAAADj3+y4=")</f>
        <v>#VALUE!</v>
      </c>
      <c r="AV5" t="e">
        <f>AND('Aquatic Inverts'!C2,"AAAAADj3+y8=")</f>
        <v>#VALUE!</v>
      </c>
      <c r="AW5" t="e">
        <f>AND('Aquatic Inverts'!D2,"AAAAADj3+zA=")</f>
        <v>#VALUE!</v>
      </c>
      <c r="AX5" t="e">
        <f>AND('Aquatic Inverts'!E2,"AAAAADj3+zE=")</f>
        <v>#VALUE!</v>
      </c>
      <c r="AY5" t="e">
        <f>AND('Aquatic Inverts'!F2,"AAAAADj3+zI=")</f>
        <v>#VALUE!</v>
      </c>
      <c r="AZ5" t="e">
        <f>AND('Aquatic Inverts'!G2,"AAAAADj3+zM=")</f>
        <v>#VALUE!</v>
      </c>
      <c r="BA5" t="e">
        <f>AND('Aquatic Inverts'!H2,"AAAAADj3+zQ=")</f>
        <v>#VALUE!</v>
      </c>
      <c r="BB5" t="e">
        <f>AND('Aquatic Inverts'!I2,"AAAAADj3+zU=")</f>
        <v>#VALUE!</v>
      </c>
      <c r="BC5" t="e">
        <f>AND('Aquatic Inverts'!J2,"AAAAADj3+zY=")</f>
        <v>#VALUE!</v>
      </c>
      <c r="BD5" t="e">
        <f>AND('Aquatic Inverts'!K2,"AAAAADj3+zc=")</f>
        <v>#VALUE!</v>
      </c>
      <c r="BE5" t="e">
        <f>AND('Aquatic Inverts'!L2,"AAAAADj3+zg=")</f>
        <v>#VALUE!</v>
      </c>
      <c r="BF5" t="e">
        <f>AND('Aquatic Inverts'!M2,"AAAAADj3+zk=")</f>
        <v>#VALUE!</v>
      </c>
      <c r="BG5" t="e">
        <f>AND('Aquatic Inverts'!N2,"AAAAADj3+zo=")</f>
        <v>#VALUE!</v>
      </c>
      <c r="BH5" t="e">
        <f>AND('Aquatic Inverts'!O2,"AAAAADj3+zs=")</f>
        <v>#VALUE!</v>
      </c>
      <c r="BI5" t="e">
        <f>AND('Aquatic Inverts'!P2,"AAAAADj3+zw=")</f>
        <v>#VALUE!</v>
      </c>
      <c r="BJ5" t="e">
        <f>AND('Aquatic Inverts'!Q2,"AAAAADj3+z0=")</f>
        <v>#VALUE!</v>
      </c>
      <c r="BK5" t="e">
        <f>AND('Aquatic Inverts'!R2,"AAAAADj3+z4=")</f>
        <v>#VALUE!</v>
      </c>
      <c r="BL5" t="e">
        <f>AND('Aquatic Inverts'!S2,"AAAAADj3+z8=")</f>
        <v>#VALUE!</v>
      </c>
      <c r="BM5" t="e">
        <f>AND('Aquatic Inverts'!T2,"AAAAADj3+0A=")</f>
        <v>#VALUE!</v>
      </c>
      <c r="BN5" t="e">
        <f>AND('Aquatic Inverts'!U2,"AAAAADj3+0E=")</f>
        <v>#VALUE!</v>
      </c>
      <c r="BO5" t="e">
        <f>AND('Aquatic Inverts'!V2,"AAAAADj3+0I=")</f>
        <v>#VALUE!</v>
      </c>
      <c r="BP5">
        <f>IF('Aquatic Inverts'!3:3,"AAAAADj3+0M=",0)</f>
        <v>0</v>
      </c>
      <c r="BQ5" t="e">
        <f>AND('Aquatic Inverts'!A3,"AAAAADj3+0Q=")</f>
        <v>#VALUE!</v>
      </c>
      <c r="BR5" t="e">
        <f>AND('Aquatic Inverts'!B3,"AAAAADj3+0U=")</f>
        <v>#VALUE!</v>
      </c>
      <c r="BS5" t="e">
        <f>AND('Aquatic Inverts'!C3,"AAAAADj3+0Y=")</f>
        <v>#VALUE!</v>
      </c>
      <c r="BT5" t="e">
        <f>AND('Aquatic Inverts'!D3,"AAAAADj3+0c=")</f>
        <v>#VALUE!</v>
      </c>
      <c r="BU5" t="e">
        <f>AND('Aquatic Inverts'!E3,"AAAAADj3+0g=")</f>
        <v>#VALUE!</v>
      </c>
      <c r="BV5" t="e">
        <f>AND('Aquatic Inverts'!F3,"AAAAADj3+0k=")</f>
        <v>#VALUE!</v>
      </c>
      <c r="BW5" t="e">
        <f>AND('Aquatic Inverts'!G3,"AAAAADj3+0o=")</f>
        <v>#VALUE!</v>
      </c>
      <c r="BX5" t="e">
        <f>AND('Aquatic Inverts'!H3,"AAAAADj3+0s=")</f>
        <v>#VALUE!</v>
      </c>
      <c r="BY5" t="e">
        <f>AND('Aquatic Inverts'!I3,"AAAAADj3+0w=")</f>
        <v>#VALUE!</v>
      </c>
      <c r="BZ5" t="e">
        <f>AND('Aquatic Inverts'!J3,"AAAAADj3+00=")</f>
        <v>#VALUE!</v>
      </c>
      <c r="CA5" t="e">
        <f>AND('Aquatic Inverts'!K3,"AAAAADj3+04=")</f>
        <v>#VALUE!</v>
      </c>
      <c r="CB5" t="e">
        <f>AND('Aquatic Inverts'!L3,"AAAAADj3+08=")</f>
        <v>#VALUE!</v>
      </c>
      <c r="CC5" t="e">
        <f>AND('Aquatic Inverts'!M3,"AAAAADj3+1A=")</f>
        <v>#VALUE!</v>
      </c>
      <c r="CD5" t="e">
        <f>AND('Aquatic Inverts'!N3,"AAAAADj3+1E=")</f>
        <v>#VALUE!</v>
      </c>
      <c r="CE5" t="e">
        <f>AND('Aquatic Inverts'!O3,"AAAAADj3+1I=")</f>
        <v>#VALUE!</v>
      </c>
      <c r="CF5" t="e">
        <f>AND('Aquatic Inverts'!P3,"AAAAADj3+1M=")</f>
        <v>#VALUE!</v>
      </c>
      <c r="CG5" t="e">
        <f>AND('Aquatic Inverts'!Q3,"AAAAADj3+1Q=")</f>
        <v>#VALUE!</v>
      </c>
      <c r="CH5" t="e">
        <f>AND('Aquatic Inverts'!R3,"AAAAADj3+1U=")</f>
        <v>#VALUE!</v>
      </c>
      <c r="CI5" t="e">
        <f>AND('Aquatic Inverts'!S3,"AAAAADj3+1Y=")</f>
        <v>#VALUE!</v>
      </c>
      <c r="CJ5" t="e">
        <f>AND('Aquatic Inverts'!T3,"AAAAADj3+1c=")</f>
        <v>#VALUE!</v>
      </c>
      <c r="CK5" t="e">
        <f>AND('Aquatic Inverts'!U3,"AAAAADj3+1g=")</f>
        <v>#VALUE!</v>
      </c>
      <c r="CL5" t="e">
        <f>AND('Aquatic Inverts'!V3,"AAAAADj3+1k=")</f>
        <v>#VALUE!</v>
      </c>
      <c r="CM5">
        <f>IF('Aquatic Inverts'!4:4,"AAAAADj3+1o=",0)</f>
        <v>0</v>
      </c>
      <c r="CN5" t="e">
        <f>AND('Aquatic Inverts'!A4,"AAAAADj3+1s=")</f>
        <v>#VALUE!</v>
      </c>
      <c r="CO5" t="e">
        <f>AND('Aquatic Inverts'!B4,"AAAAADj3+1w=")</f>
        <v>#VALUE!</v>
      </c>
      <c r="CP5" t="e">
        <f>AND('Aquatic Inverts'!C4,"AAAAADj3+10=")</f>
        <v>#VALUE!</v>
      </c>
      <c r="CQ5" t="e">
        <f>AND('Aquatic Inverts'!D4,"AAAAADj3+14=")</f>
        <v>#VALUE!</v>
      </c>
      <c r="CR5" t="e">
        <f>AND('Aquatic Inverts'!E4,"AAAAADj3+18=")</f>
        <v>#VALUE!</v>
      </c>
      <c r="CS5" t="e">
        <f>AND('Aquatic Inverts'!F4,"AAAAADj3+2A=")</f>
        <v>#VALUE!</v>
      </c>
      <c r="CT5" t="e">
        <f>AND('Aquatic Inverts'!G4,"AAAAADj3+2E=")</f>
        <v>#VALUE!</v>
      </c>
      <c r="CU5" t="e">
        <f>AND('Aquatic Inverts'!H4,"AAAAADj3+2I=")</f>
        <v>#VALUE!</v>
      </c>
      <c r="CV5" t="e">
        <f>AND('Aquatic Inverts'!I4,"AAAAADj3+2M=")</f>
        <v>#VALUE!</v>
      </c>
      <c r="CW5" t="e">
        <f>AND('Aquatic Inverts'!J4,"AAAAADj3+2Q=")</f>
        <v>#VALUE!</v>
      </c>
      <c r="CX5" t="e">
        <f>AND('Aquatic Inverts'!K4,"AAAAADj3+2U=")</f>
        <v>#VALUE!</v>
      </c>
      <c r="CY5" t="e">
        <f>AND('Aquatic Inverts'!L4,"AAAAADj3+2Y=")</f>
        <v>#VALUE!</v>
      </c>
      <c r="CZ5" t="e">
        <f>AND('Aquatic Inverts'!M4,"AAAAADj3+2c=")</f>
        <v>#VALUE!</v>
      </c>
      <c r="DA5" t="e">
        <f>AND('Aquatic Inverts'!N4,"AAAAADj3+2g=")</f>
        <v>#VALUE!</v>
      </c>
      <c r="DB5" t="e">
        <f>AND('Aquatic Inverts'!O4,"AAAAADj3+2k=")</f>
        <v>#VALUE!</v>
      </c>
      <c r="DC5" t="e">
        <f>AND('Aquatic Inverts'!P4,"AAAAADj3+2o=")</f>
        <v>#VALUE!</v>
      </c>
      <c r="DD5" t="e">
        <f>AND('Aquatic Inverts'!Q4,"AAAAADj3+2s=")</f>
        <v>#VALUE!</v>
      </c>
      <c r="DE5" t="e">
        <f>AND('Aquatic Inverts'!R4,"AAAAADj3+2w=")</f>
        <v>#VALUE!</v>
      </c>
      <c r="DF5" t="e">
        <f>AND('Aquatic Inverts'!S4,"AAAAADj3+20=")</f>
        <v>#VALUE!</v>
      </c>
      <c r="DG5" t="e">
        <f>AND('Aquatic Inverts'!T4,"AAAAADj3+24=")</f>
        <v>#VALUE!</v>
      </c>
      <c r="DH5" t="e">
        <f>AND('Aquatic Inverts'!U4,"AAAAADj3+28=")</f>
        <v>#VALUE!</v>
      </c>
      <c r="DI5" t="e">
        <f>AND('Aquatic Inverts'!V4,"AAAAADj3+3A=")</f>
        <v>#VALUE!</v>
      </c>
      <c r="DJ5">
        <f>IF('Aquatic Inverts'!5:5,"AAAAADj3+3E=",0)</f>
        <v>0</v>
      </c>
      <c r="DK5" t="e">
        <f>AND('Aquatic Inverts'!A5,"AAAAADj3+3I=")</f>
        <v>#VALUE!</v>
      </c>
      <c r="DL5" t="e">
        <f>AND('Aquatic Inverts'!B5,"AAAAADj3+3M=")</f>
        <v>#VALUE!</v>
      </c>
      <c r="DM5" t="e">
        <f>AND('Aquatic Inverts'!C5,"AAAAADj3+3Q=")</f>
        <v>#VALUE!</v>
      </c>
      <c r="DN5" t="e">
        <f>AND('Aquatic Inverts'!D5,"AAAAADj3+3U=")</f>
        <v>#VALUE!</v>
      </c>
      <c r="DO5" t="e">
        <f>AND('Aquatic Inverts'!E5,"AAAAADj3+3Y=")</f>
        <v>#VALUE!</v>
      </c>
      <c r="DP5" t="e">
        <f>AND('Aquatic Inverts'!F5,"AAAAADj3+3c=")</f>
        <v>#VALUE!</v>
      </c>
      <c r="DQ5" t="e">
        <f>AND('Aquatic Inverts'!G5,"AAAAADj3+3g=")</f>
        <v>#VALUE!</v>
      </c>
      <c r="DR5" t="e">
        <f>AND('Aquatic Inverts'!H5,"AAAAADj3+3k=")</f>
        <v>#VALUE!</v>
      </c>
      <c r="DS5" t="e">
        <f>AND('Aquatic Inverts'!I5,"AAAAADj3+3o=")</f>
        <v>#VALUE!</v>
      </c>
      <c r="DT5" t="e">
        <f>AND('Aquatic Inverts'!J5,"AAAAADj3+3s=")</f>
        <v>#VALUE!</v>
      </c>
      <c r="DU5" t="e">
        <f>AND('Aquatic Inverts'!K5,"AAAAADj3+3w=")</f>
        <v>#VALUE!</v>
      </c>
      <c r="DV5" t="e">
        <f>AND('Aquatic Inverts'!L5,"AAAAADj3+30=")</f>
        <v>#VALUE!</v>
      </c>
      <c r="DW5" t="e">
        <f>AND('Aquatic Inverts'!M5,"AAAAADj3+34=")</f>
        <v>#VALUE!</v>
      </c>
      <c r="DX5" t="e">
        <f>AND('Aquatic Inverts'!N5,"AAAAADj3+38=")</f>
        <v>#VALUE!</v>
      </c>
      <c r="DY5" t="e">
        <f>AND('Aquatic Inverts'!O5,"AAAAADj3+4A=")</f>
        <v>#VALUE!</v>
      </c>
      <c r="DZ5" t="e">
        <f>AND('Aquatic Inverts'!P5,"AAAAADj3+4E=")</f>
        <v>#VALUE!</v>
      </c>
      <c r="EA5" t="e">
        <f>AND('Aquatic Inverts'!Q5,"AAAAADj3+4I=")</f>
        <v>#VALUE!</v>
      </c>
      <c r="EB5" t="e">
        <f>AND('Aquatic Inverts'!R5,"AAAAADj3+4M=")</f>
        <v>#VALUE!</v>
      </c>
      <c r="EC5" t="e">
        <f>AND('Aquatic Inverts'!S5,"AAAAADj3+4Q=")</f>
        <v>#VALUE!</v>
      </c>
      <c r="ED5" t="e">
        <f>AND('Aquatic Inverts'!T5,"AAAAADj3+4U=")</f>
        <v>#VALUE!</v>
      </c>
      <c r="EE5" t="e">
        <f>AND('Aquatic Inverts'!U5,"AAAAADj3+4Y=")</f>
        <v>#VALUE!</v>
      </c>
      <c r="EF5" t="e">
        <f>AND('Aquatic Inverts'!V5,"AAAAADj3+4c=")</f>
        <v>#VALUE!</v>
      </c>
      <c r="EG5">
        <f>IF('Aquatic Inverts'!6:6,"AAAAADj3+4g=",0)</f>
        <v>0</v>
      </c>
      <c r="EH5" t="e">
        <f>AND('Aquatic Inverts'!A6,"AAAAADj3+4k=")</f>
        <v>#VALUE!</v>
      </c>
      <c r="EI5" t="e">
        <f>AND('Aquatic Inverts'!B6,"AAAAADj3+4o=")</f>
        <v>#VALUE!</v>
      </c>
      <c r="EJ5" t="e">
        <f>AND('Aquatic Inverts'!C6,"AAAAADj3+4s=")</f>
        <v>#VALUE!</v>
      </c>
      <c r="EK5" t="e">
        <f>AND('Aquatic Inverts'!D6,"AAAAADj3+4w=")</f>
        <v>#VALUE!</v>
      </c>
      <c r="EL5" t="e">
        <f>AND('Aquatic Inverts'!E6,"AAAAADj3+40=")</f>
        <v>#VALUE!</v>
      </c>
      <c r="EM5" t="e">
        <f>AND('Aquatic Inverts'!F6,"AAAAADj3+44=")</f>
        <v>#VALUE!</v>
      </c>
      <c r="EN5" t="e">
        <f>AND('Aquatic Inverts'!G6,"AAAAADj3+48=")</f>
        <v>#VALUE!</v>
      </c>
      <c r="EO5" t="e">
        <f>AND('Aquatic Inverts'!H6,"AAAAADj3+5A=")</f>
        <v>#VALUE!</v>
      </c>
      <c r="EP5" t="e">
        <f>AND('Aquatic Inverts'!I6,"AAAAADj3+5E=")</f>
        <v>#VALUE!</v>
      </c>
      <c r="EQ5" t="e">
        <f>AND('Aquatic Inverts'!J6,"AAAAADj3+5I=")</f>
        <v>#VALUE!</v>
      </c>
      <c r="ER5" t="e">
        <f>AND('Aquatic Inverts'!K6,"AAAAADj3+5M=")</f>
        <v>#VALUE!</v>
      </c>
      <c r="ES5" t="e">
        <f>AND('Aquatic Inverts'!L6,"AAAAADj3+5Q=")</f>
        <v>#VALUE!</v>
      </c>
      <c r="ET5" t="e">
        <f>AND('Aquatic Inverts'!M6,"AAAAADj3+5U=")</f>
        <v>#VALUE!</v>
      </c>
      <c r="EU5" t="e">
        <f>AND('Aquatic Inverts'!N6,"AAAAADj3+5Y=")</f>
        <v>#VALUE!</v>
      </c>
      <c r="EV5" t="e">
        <f>AND('Aquatic Inverts'!O6,"AAAAADj3+5c=")</f>
        <v>#VALUE!</v>
      </c>
      <c r="EW5" t="e">
        <f>AND('Aquatic Inverts'!P6,"AAAAADj3+5g=")</f>
        <v>#VALUE!</v>
      </c>
      <c r="EX5" t="e">
        <f>AND('Aquatic Inverts'!Q6,"AAAAADj3+5k=")</f>
        <v>#VALUE!</v>
      </c>
      <c r="EY5" t="e">
        <f>AND('Aquatic Inverts'!R6,"AAAAADj3+5o=")</f>
        <v>#VALUE!</v>
      </c>
      <c r="EZ5" t="e">
        <f>AND('Aquatic Inverts'!S6,"AAAAADj3+5s=")</f>
        <v>#VALUE!</v>
      </c>
      <c r="FA5" t="e">
        <f>AND('Aquatic Inverts'!T6,"AAAAADj3+5w=")</f>
        <v>#VALUE!</v>
      </c>
      <c r="FB5" t="e">
        <f>AND('Aquatic Inverts'!U6,"AAAAADj3+50=")</f>
        <v>#VALUE!</v>
      </c>
      <c r="FC5" t="e">
        <f>AND('Aquatic Inverts'!V6,"AAAAADj3+54=")</f>
        <v>#VALUE!</v>
      </c>
      <c r="FD5">
        <f>IF('Aquatic Inverts'!7:7,"AAAAADj3+58=",0)</f>
        <v>0</v>
      </c>
      <c r="FE5" t="e">
        <f>AND('Aquatic Inverts'!A7,"AAAAADj3+6A=")</f>
        <v>#VALUE!</v>
      </c>
      <c r="FF5" t="e">
        <f>AND('Aquatic Inverts'!B7,"AAAAADj3+6E=")</f>
        <v>#VALUE!</v>
      </c>
      <c r="FG5" t="e">
        <f>AND('Aquatic Inverts'!C7,"AAAAADj3+6I=")</f>
        <v>#VALUE!</v>
      </c>
      <c r="FH5" t="e">
        <f>AND('Aquatic Inverts'!D7,"AAAAADj3+6M=")</f>
        <v>#VALUE!</v>
      </c>
      <c r="FI5" t="e">
        <f>AND('Aquatic Inverts'!E7,"AAAAADj3+6Q=")</f>
        <v>#VALUE!</v>
      </c>
      <c r="FJ5" t="e">
        <f>AND('Aquatic Inverts'!F7,"AAAAADj3+6U=")</f>
        <v>#VALUE!</v>
      </c>
      <c r="FK5" t="e">
        <f>AND('Aquatic Inverts'!G7,"AAAAADj3+6Y=")</f>
        <v>#VALUE!</v>
      </c>
      <c r="FL5" t="e">
        <f>AND('Aquatic Inverts'!H7,"AAAAADj3+6c=")</f>
        <v>#VALUE!</v>
      </c>
      <c r="FM5" t="e">
        <f>AND('Aquatic Inverts'!I7,"AAAAADj3+6g=")</f>
        <v>#VALUE!</v>
      </c>
      <c r="FN5" t="e">
        <f>AND('Aquatic Inverts'!J7,"AAAAADj3+6k=")</f>
        <v>#VALUE!</v>
      </c>
      <c r="FO5" t="e">
        <f>AND('Aquatic Inverts'!K7,"AAAAADj3+6o=")</f>
        <v>#VALUE!</v>
      </c>
      <c r="FP5" t="e">
        <f>AND('Aquatic Inverts'!L7,"AAAAADj3+6s=")</f>
        <v>#VALUE!</v>
      </c>
      <c r="FQ5" t="e">
        <f>AND('Aquatic Inverts'!M7,"AAAAADj3+6w=")</f>
        <v>#VALUE!</v>
      </c>
      <c r="FR5" t="e">
        <f>AND('Aquatic Inverts'!N7,"AAAAADj3+60=")</f>
        <v>#VALUE!</v>
      </c>
      <c r="FS5" t="e">
        <f>AND('Aquatic Inverts'!O7,"AAAAADj3+64=")</f>
        <v>#VALUE!</v>
      </c>
      <c r="FT5" t="e">
        <f>AND('Aquatic Inverts'!P7,"AAAAADj3+68=")</f>
        <v>#VALUE!</v>
      </c>
      <c r="FU5" t="e">
        <f>AND('Aquatic Inverts'!Q7,"AAAAADj3+7A=")</f>
        <v>#VALUE!</v>
      </c>
      <c r="FV5" t="e">
        <f>AND('Aquatic Inverts'!R7,"AAAAADj3+7E=")</f>
        <v>#VALUE!</v>
      </c>
      <c r="FW5" t="e">
        <f>AND('Aquatic Inverts'!S7,"AAAAADj3+7I=")</f>
        <v>#VALUE!</v>
      </c>
      <c r="FX5" t="e">
        <f>AND('Aquatic Inverts'!T7,"AAAAADj3+7M=")</f>
        <v>#VALUE!</v>
      </c>
      <c r="FY5" t="e">
        <f>AND('Aquatic Inverts'!U7,"AAAAADj3+7Q=")</f>
        <v>#VALUE!</v>
      </c>
      <c r="FZ5" t="e">
        <f>AND('Aquatic Inverts'!V7,"AAAAADj3+7U=")</f>
        <v>#VALUE!</v>
      </c>
      <c r="GA5">
        <f>IF('Aquatic Inverts'!8:8,"AAAAADj3+7Y=",0)</f>
        <v>0</v>
      </c>
      <c r="GB5" t="e">
        <f>AND('Aquatic Inverts'!A8,"AAAAADj3+7c=")</f>
        <v>#VALUE!</v>
      </c>
      <c r="GC5" t="e">
        <f>AND('Aquatic Inverts'!B8,"AAAAADj3+7g=")</f>
        <v>#VALUE!</v>
      </c>
      <c r="GD5" t="e">
        <f>AND('Aquatic Inverts'!C8,"AAAAADj3+7k=")</f>
        <v>#VALUE!</v>
      </c>
      <c r="GE5" t="e">
        <f>AND('Aquatic Inverts'!D8,"AAAAADj3+7o=")</f>
        <v>#VALUE!</v>
      </c>
      <c r="GF5" t="e">
        <f>AND('Aquatic Inverts'!E8,"AAAAADj3+7s=")</f>
        <v>#VALUE!</v>
      </c>
      <c r="GG5" t="e">
        <f>AND('Aquatic Inverts'!F8,"AAAAADj3+7w=")</f>
        <v>#VALUE!</v>
      </c>
      <c r="GH5" t="e">
        <f>AND('Aquatic Inverts'!G8,"AAAAADj3+70=")</f>
        <v>#VALUE!</v>
      </c>
      <c r="GI5" t="e">
        <f>AND('Aquatic Inverts'!H8,"AAAAADj3+74=")</f>
        <v>#VALUE!</v>
      </c>
      <c r="GJ5" t="e">
        <f>AND('Aquatic Inverts'!I8,"AAAAADj3+78=")</f>
        <v>#VALUE!</v>
      </c>
      <c r="GK5" t="e">
        <f>AND('Aquatic Inverts'!J8,"AAAAADj3+8A=")</f>
        <v>#VALUE!</v>
      </c>
      <c r="GL5" t="e">
        <f>AND('Aquatic Inverts'!K8,"AAAAADj3+8E=")</f>
        <v>#VALUE!</v>
      </c>
      <c r="GM5" t="e">
        <f>AND('Aquatic Inverts'!L8,"AAAAADj3+8I=")</f>
        <v>#VALUE!</v>
      </c>
      <c r="GN5" t="e">
        <f>AND('Aquatic Inverts'!M8,"AAAAADj3+8M=")</f>
        <v>#VALUE!</v>
      </c>
      <c r="GO5" t="e">
        <f>AND('Aquatic Inverts'!N8,"AAAAADj3+8Q=")</f>
        <v>#VALUE!</v>
      </c>
      <c r="GP5" t="e">
        <f>AND('Aquatic Inverts'!O8,"AAAAADj3+8U=")</f>
        <v>#VALUE!</v>
      </c>
      <c r="GQ5" t="e">
        <f>AND('Aquatic Inverts'!P8,"AAAAADj3+8Y=")</f>
        <v>#VALUE!</v>
      </c>
      <c r="GR5" t="e">
        <f>AND('Aquatic Inverts'!Q8,"AAAAADj3+8c=")</f>
        <v>#VALUE!</v>
      </c>
      <c r="GS5" t="e">
        <f>AND('Aquatic Inverts'!R8,"AAAAADj3+8g=")</f>
        <v>#VALUE!</v>
      </c>
      <c r="GT5" t="e">
        <f>AND('Aquatic Inverts'!S8,"AAAAADj3+8k=")</f>
        <v>#VALUE!</v>
      </c>
      <c r="GU5" t="e">
        <f>AND('Aquatic Inverts'!T8,"AAAAADj3+8o=")</f>
        <v>#VALUE!</v>
      </c>
      <c r="GV5" t="e">
        <f>AND('Aquatic Inverts'!U8,"AAAAADj3+8s=")</f>
        <v>#VALUE!</v>
      </c>
      <c r="GW5" t="e">
        <f>AND('Aquatic Inverts'!V8,"AAAAADj3+8w=")</f>
        <v>#VALUE!</v>
      </c>
      <c r="GX5">
        <f>IF('Aquatic Inverts'!9:9,"AAAAADj3+80=",0)</f>
        <v>0</v>
      </c>
      <c r="GY5" t="e">
        <f>AND('Aquatic Inverts'!A9,"AAAAADj3+84=")</f>
        <v>#VALUE!</v>
      </c>
      <c r="GZ5" t="e">
        <f>AND('Aquatic Inverts'!B9,"AAAAADj3+88=")</f>
        <v>#VALUE!</v>
      </c>
      <c r="HA5" t="e">
        <f>AND('Aquatic Inverts'!C9,"AAAAADj3+9A=")</f>
        <v>#VALUE!</v>
      </c>
      <c r="HB5" t="e">
        <f>AND('Aquatic Inverts'!D9,"AAAAADj3+9E=")</f>
        <v>#VALUE!</v>
      </c>
      <c r="HC5" t="e">
        <f>AND('Aquatic Inverts'!E9,"AAAAADj3+9I=")</f>
        <v>#VALUE!</v>
      </c>
      <c r="HD5" t="e">
        <f>AND('Aquatic Inverts'!F9,"AAAAADj3+9M=")</f>
        <v>#VALUE!</v>
      </c>
      <c r="HE5" t="e">
        <f>AND('Aquatic Inverts'!G9,"AAAAADj3+9Q=")</f>
        <v>#VALUE!</v>
      </c>
      <c r="HF5" t="e">
        <f>AND('Aquatic Inverts'!H9,"AAAAADj3+9U=")</f>
        <v>#VALUE!</v>
      </c>
      <c r="HG5" t="e">
        <f>AND('Aquatic Inverts'!I9,"AAAAADj3+9Y=")</f>
        <v>#VALUE!</v>
      </c>
      <c r="HH5" t="e">
        <f>AND('Aquatic Inverts'!J9,"AAAAADj3+9c=")</f>
        <v>#VALUE!</v>
      </c>
      <c r="HI5" t="e">
        <f>AND('Aquatic Inverts'!K9,"AAAAADj3+9g=")</f>
        <v>#VALUE!</v>
      </c>
      <c r="HJ5" t="e">
        <f>AND('Aquatic Inverts'!L9,"AAAAADj3+9k=")</f>
        <v>#VALUE!</v>
      </c>
      <c r="HK5" t="e">
        <f>AND('Aquatic Inverts'!M9,"AAAAADj3+9o=")</f>
        <v>#VALUE!</v>
      </c>
      <c r="HL5" t="e">
        <f>AND('Aquatic Inverts'!N9,"AAAAADj3+9s=")</f>
        <v>#VALUE!</v>
      </c>
      <c r="HM5" t="e">
        <f>AND('Aquatic Inverts'!O9,"AAAAADj3+9w=")</f>
        <v>#VALUE!</v>
      </c>
      <c r="HN5" t="e">
        <f>AND('Aquatic Inverts'!P9,"AAAAADj3+90=")</f>
        <v>#VALUE!</v>
      </c>
      <c r="HO5" t="e">
        <f>AND('Aquatic Inverts'!Q9,"AAAAADj3+94=")</f>
        <v>#VALUE!</v>
      </c>
      <c r="HP5" t="e">
        <f>AND('Aquatic Inverts'!R9,"AAAAADj3+98=")</f>
        <v>#VALUE!</v>
      </c>
      <c r="HQ5" t="e">
        <f>AND('Aquatic Inverts'!S9,"AAAAADj3++A=")</f>
        <v>#VALUE!</v>
      </c>
      <c r="HR5" t="e">
        <f>AND('Aquatic Inverts'!T9,"AAAAADj3++E=")</f>
        <v>#VALUE!</v>
      </c>
      <c r="HS5" t="e">
        <f>AND('Aquatic Inverts'!U9,"AAAAADj3++I=")</f>
        <v>#VALUE!</v>
      </c>
      <c r="HT5" t="e">
        <f>AND('Aquatic Inverts'!V9,"AAAAADj3++M=")</f>
        <v>#VALUE!</v>
      </c>
      <c r="HU5">
        <f>IF('Aquatic Inverts'!10:10,"AAAAADj3++Q=",0)</f>
        <v>0</v>
      </c>
      <c r="HV5" t="e">
        <f>AND('Aquatic Inverts'!A10,"AAAAADj3++U=")</f>
        <v>#VALUE!</v>
      </c>
      <c r="HW5" t="e">
        <f>AND('Aquatic Inverts'!B10,"AAAAADj3++Y=")</f>
        <v>#VALUE!</v>
      </c>
      <c r="HX5" t="e">
        <f>AND('Aquatic Inverts'!C10,"AAAAADj3++c=")</f>
        <v>#VALUE!</v>
      </c>
      <c r="HY5" t="e">
        <f>AND('Aquatic Inverts'!D10,"AAAAADj3++g=")</f>
        <v>#VALUE!</v>
      </c>
      <c r="HZ5" t="e">
        <f>AND('Aquatic Inverts'!E10,"AAAAADj3++k=")</f>
        <v>#VALUE!</v>
      </c>
      <c r="IA5" t="e">
        <f>AND('Aquatic Inverts'!F10,"AAAAADj3++o=")</f>
        <v>#VALUE!</v>
      </c>
      <c r="IB5" t="e">
        <f>AND('Aquatic Inverts'!G10,"AAAAADj3++s=")</f>
        <v>#VALUE!</v>
      </c>
      <c r="IC5" t="e">
        <f>AND('Aquatic Inverts'!H10,"AAAAADj3++w=")</f>
        <v>#VALUE!</v>
      </c>
      <c r="ID5" t="e">
        <f>AND('Aquatic Inverts'!I10,"AAAAADj3++0=")</f>
        <v>#VALUE!</v>
      </c>
      <c r="IE5" t="e">
        <f>AND('Aquatic Inverts'!J10,"AAAAADj3++4=")</f>
        <v>#VALUE!</v>
      </c>
      <c r="IF5" t="e">
        <f>AND('Aquatic Inverts'!K10,"AAAAADj3++8=")</f>
        <v>#VALUE!</v>
      </c>
      <c r="IG5" t="e">
        <f>AND('Aquatic Inverts'!L10,"AAAAADj3+/A=")</f>
        <v>#VALUE!</v>
      </c>
      <c r="IH5" t="e">
        <f>AND('Aquatic Inverts'!M10,"AAAAADj3+/E=")</f>
        <v>#VALUE!</v>
      </c>
      <c r="II5" t="e">
        <f>AND('Aquatic Inverts'!N10,"AAAAADj3+/I=")</f>
        <v>#VALUE!</v>
      </c>
      <c r="IJ5" t="e">
        <f>AND('Aquatic Inverts'!O10,"AAAAADj3+/M=")</f>
        <v>#VALUE!</v>
      </c>
      <c r="IK5" t="e">
        <f>AND('Aquatic Inverts'!P10,"AAAAADj3+/Q=")</f>
        <v>#VALUE!</v>
      </c>
      <c r="IL5" t="e">
        <f>AND('Aquatic Inverts'!Q10,"AAAAADj3+/U=")</f>
        <v>#VALUE!</v>
      </c>
      <c r="IM5" t="e">
        <f>AND('Aquatic Inverts'!R10,"AAAAADj3+/Y=")</f>
        <v>#VALUE!</v>
      </c>
      <c r="IN5" t="e">
        <f>AND('Aquatic Inverts'!S10,"AAAAADj3+/c=")</f>
        <v>#VALUE!</v>
      </c>
      <c r="IO5" t="e">
        <f>AND('Aquatic Inverts'!T10,"AAAAADj3+/g=")</f>
        <v>#VALUE!</v>
      </c>
      <c r="IP5" t="e">
        <f>AND('Aquatic Inverts'!U10,"AAAAADj3+/k=")</f>
        <v>#VALUE!</v>
      </c>
      <c r="IQ5" t="e">
        <f>AND('Aquatic Inverts'!V10,"AAAAADj3+/o=")</f>
        <v>#VALUE!</v>
      </c>
      <c r="IR5">
        <f>IF('Aquatic Inverts'!11:11,"AAAAADj3+/s=",0)</f>
        <v>0</v>
      </c>
      <c r="IS5" t="e">
        <f>AND('Aquatic Inverts'!A11,"AAAAADj3+/w=")</f>
        <v>#VALUE!</v>
      </c>
      <c r="IT5" t="e">
        <f>AND('Aquatic Inverts'!B11,"AAAAADj3+/0=")</f>
        <v>#VALUE!</v>
      </c>
      <c r="IU5" t="e">
        <f>AND('Aquatic Inverts'!C11,"AAAAADj3+/4=")</f>
        <v>#VALUE!</v>
      </c>
      <c r="IV5" t="e">
        <f>AND('Aquatic Inverts'!D11,"AAAAADj3+/8=")</f>
        <v>#VALUE!</v>
      </c>
    </row>
    <row r="6" spans="1:256">
      <c r="A6" t="e">
        <f>AND('Aquatic Inverts'!E11,"AAAAAH7v7gA=")</f>
        <v>#VALUE!</v>
      </c>
      <c r="B6" t="e">
        <f>AND('Aquatic Inverts'!F11,"AAAAAH7v7gE=")</f>
        <v>#VALUE!</v>
      </c>
      <c r="C6" t="e">
        <f>AND('Aquatic Inverts'!G11,"AAAAAH7v7gI=")</f>
        <v>#VALUE!</v>
      </c>
      <c r="D6" t="e">
        <f>AND('Aquatic Inverts'!H11,"AAAAAH7v7gM=")</f>
        <v>#VALUE!</v>
      </c>
      <c r="E6" t="e">
        <f>AND('Aquatic Inverts'!I11,"AAAAAH7v7gQ=")</f>
        <v>#VALUE!</v>
      </c>
      <c r="F6" t="e">
        <f>AND('Aquatic Inverts'!J11,"AAAAAH7v7gU=")</f>
        <v>#VALUE!</v>
      </c>
      <c r="G6" t="e">
        <f>AND('Aquatic Inverts'!K11,"AAAAAH7v7gY=")</f>
        <v>#VALUE!</v>
      </c>
      <c r="H6" t="e">
        <f>AND('Aquatic Inverts'!L11,"AAAAAH7v7gc=")</f>
        <v>#VALUE!</v>
      </c>
      <c r="I6" t="e">
        <f>AND('Aquatic Inverts'!M11,"AAAAAH7v7gg=")</f>
        <v>#VALUE!</v>
      </c>
      <c r="J6" t="e">
        <f>AND('Aquatic Inverts'!N11,"AAAAAH7v7gk=")</f>
        <v>#VALUE!</v>
      </c>
      <c r="K6" t="e">
        <f>AND('Aquatic Inverts'!O11,"AAAAAH7v7go=")</f>
        <v>#VALUE!</v>
      </c>
      <c r="L6" t="e">
        <f>AND('Aquatic Inverts'!P11,"AAAAAH7v7gs=")</f>
        <v>#VALUE!</v>
      </c>
      <c r="M6" t="e">
        <f>AND('Aquatic Inverts'!Q11,"AAAAAH7v7gw=")</f>
        <v>#VALUE!</v>
      </c>
      <c r="N6" t="e">
        <f>AND('Aquatic Inverts'!R11,"AAAAAH7v7g0=")</f>
        <v>#VALUE!</v>
      </c>
      <c r="O6" t="e">
        <f>AND('Aquatic Inverts'!S11,"AAAAAH7v7g4=")</f>
        <v>#VALUE!</v>
      </c>
      <c r="P6" t="e">
        <f>AND('Aquatic Inverts'!T11,"AAAAAH7v7g8=")</f>
        <v>#VALUE!</v>
      </c>
      <c r="Q6" t="e">
        <f>AND('Aquatic Inverts'!U11,"AAAAAH7v7hA=")</f>
        <v>#VALUE!</v>
      </c>
      <c r="R6" t="e">
        <f>AND('Aquatic Inverts'!V11,"AAAAAH7v7hE=")</f>
        <v>#VALUE!</v>
      </c>
      <c r="S6">
        <f>IF('Aquatic Inverts'!12:12,"AAAAAH7v7hI=",0)</f>
        <v>0</v>
      </c>
      <c r="T6" t="e">
        <f>AND('Aquatic Inverts'!A12,"AAAAAH7v7hM=")</f>
        <v>#VALUE!</v>
      </c>
      <c r="U6" t="e">
        <f>AND('Aquatic Inverts'!B12,"AAAAAH7v7hQ=")</f>
        <v>#VALUE!</v>
      </c>
      <c r="V6" t="e">
        <f>AND('Aquatic Inverts'!C12,"AAAAAH7v7hU=")</f>
        <v>#VALUE!</v>
      </c>
      <c r="W6" t="e">
        <f>AND('Aquatic Inverts'!D12,"AAAAAH7v7hY=")</f>
        <v>#VALUE!</v>
      </c>
      <c r="X6" t="e">
        <f>AND('Aquatic Inverts'!E12,"AAAAAH7v7hc=")</f>
        <v>#VALUE!</v>
      </c>
      <c r="Y6" t="e">
        <f>AND('Aquatic Inverts'!F12,"AAAAAH7v7hg=")</f>
        <v>#VALUE!</v>
      </c>
      <c r="Z6" t="e">
        <f>AND('Aquatic Inverts'!G12,"AAAAAH7v7hk=")</f>
        <v>#VALUE!</v>
      </c>
      <c r="AA6" t="e">
        <f>AND('Aquatic Inverts'!H12,"AAAAAH7v7ho=")</f>
        <v>#VALUE!</v>
      </c>
      <c r="AB6" t="e">
        <f>AND('Aquatic Inverts'!I12,"AAAAAH7v7hs=")</f>
        <v>#VALUE!</v>
      </c>
      <c r="AC6" t="e">
        <f>AND('Aquatic Inverts'!J12,"AAAAAH7v7hw=")</f>
        <v>#VALUE!</v>
      </c>
      <c r="AD6" t="e">
        <f>AND('Aquatic Inverts'!K12,"AAAAAH7v7h0=")</f>
        <v>#VALUE!</v>
      </c>
      <c r="AE6" t="e">
        <f>AND('Aquatic Inverts'!L12,"AAAAAH7v7h4=")</f>
        <v>#VALUE!</v>
      </c>
      <c r="AF6" t="e">
        <f>AND('Aquatic Inverts'!M12,"AAAAAH7v7h8=")</f>
        <v>#VALUE!</v>
      </c>
      <c r="AG6" t="e">
        <f>AND('Aquatic Inverts'!N12,"AAAAAH7v7iA=")</f>
        <v>#VALUE!</v>
      </c>
      <c r="AH6" t="e">
        <f>AND('Aquatic Inverts'!O12,"AAAAAH7v7iE=")</f>
        <v>#VALUE!</v>
      </c>
      <c r="AI6" t="e">
        <f>AND('Aquatic Inverts'!P12,"AAAAAH7v7iI=")</f>
        <v>#VALUE!</v>
      </c>
      <c r="AJ6" t="e">
        <f>AND('Aquatic Inverts'!Q12,"AAAAAH7v7iM=")</f>
        <v>#VALUE!</v>
      </c>
      <c r="AK6" t="e">
        <f>AND('Aquatic Inverts'!R12,"AAAAAH7v7iQ=")</f>
        <v>#VALUE!</v>
      </c>
      <c r="AL6" t="e">
        <f>AND('Aquatic Inverts'!S12,"AAAAAH7v7iU=")</f>
        <v>#VALUE!</v>
      </c>
      <c r="AM6" t="e">
        <f>AND('Aquatic Inverts'!T12,"AAAAAH7v7iY=")</f>
        <v>#VALUE!</v>
      </c>
      <c r="AN6" t="e">
        <f>AND('Aquatic Inverts'!U12,"AAAAAH7v7ic=")</f>
        <v>#VALUE!</v>
      </c>
      <c r="AO6" t="e">
        <f>AND('Aquatic Inverts'!V12,"AAAAAH7v7ig=")</f>
        <v>#VALUE!</v>
      </c>
      <c r="AP6">
        <f>IF('Aquatic Inverts'!13:13,"AAAAAH7v7ik=",0)</f>
        <v>0</v>
      </c>
      <c r="AQ6" t="e">
        <f>AND('Aquatic Inverts'!A13,"AAAAAH7v7io=")</f>
        <v>#VALUE!</v>
      </c>
      <c r="AR6" t="e">
        <f>AND('Aquatic Inverts'!B13,"AAAAAH7v7is=")</f>
        <v>#VALUE!</v>
      </c>
      <c r="AS6" t="e">
        <f>AND('Aquatic Inverts'!C13,"AAAAAH7v7iw=")</f>
        <v>#VALUE!</v>
      </c>
      <c r="AT6" t="e">
        <f>AND('Aquatic Inverts'!D13,"AAAAAH7v7i0=")</f>
        <v>#VALUE!</v>
      </c>
      <c r="AU6" t="e">
        <f>AND('Aquatic Inverts'!E13,"AAAAAH7v7i4=")</f>
        <v>#VALUE!</v>
      </c>
      <c r="AV6" t="e">
        <f>AND('Aquatic Inverts'!F13,"AAAAAH7v7i8=")</f>
        <v>#VALUE!</v>
      </c>
      <c r="AW6" t="e">
        <f>AND('Aquatic Inverts'!G13,"AAAAAH7v7jA=")</f>
        <v>#VALUE!</v>
      </c>
      <c r="AX6" t="e">
        <f>AND('Aquatic Inverts'!H13,"AAAAAH7v7jE=")</f>
        <v>#VALUE!</v>
      </c>
      <c r="AY6" t="e">
        <f>AND('Aquatic Inverts'!I13,"AAAAAH7v7jI=")</f>
        <v>#VALUE!</v>
      </c>
      <c r="AZ6" t="e">
        <f>AND('Aquatic Inverts'!J13,"AAAAAH7v7jM=")</f>
        <v>#VALUE!</v>
      </c>
      <c r="BA6" t="e">
        <f>AND('Aquatic Inverts'!K13,"AAAAAH7v7jQ=")</f>
        <v>#VALUE!</v>
      </c>
      <c r="BB6" t="e">
        <f>AND('Aquatic Inverts'!L13,"AAAAAH7v7jU=")</f>
        <v>#VALUE!</v>
      </c>
      <c r="BC6" t="e">
        <f>AND('Aquatic Inverts'!M13,"AAAAAH7v7jY=")</f>
        <v>#VALUE!</v>
      </c>
      <c r="BD6" t="e">
        <f>AND('Aquatic Inverts'!N13,"AAAAAH7v7jc=")</f>
        <v>#VALUE!</v>
      </c>
      <c r="BE6" t="e">
        <f>AND('Aquatic Inverts'!O13,"AAAAAH7v7jg=")</f>
        <v>#VALUE!</v>
      </c>
      <c r="BF6" t="e">
        <f>AND('Aquatic Inverts'!P13,"AAAAAH7v7jk=")</f>
        <v>#VALUE!</v>
      </c>
      <c r="BG6" t="e">
        <f>AND('Aquatic Inverts'!Q13,"AAAAAH7v7jo=")</f>
        <v>#VALUE!</v>
      </c>
      <c r="BH6" t="e">
        <f>AND('Aquatic Inverts'!R13,"AAAAAH7v7js=")</f>
        <v>#VALUE!</v>
      </c>
      <c r="BI6" t="e">
        <f>AND('Aquatic Inverts'!S13,"AAAAAH7v7jw=")</f>
        <v>#VALUE!</v>
      </c>
      <c r="BJ6" t="e">
        <f>AND('Aquatic Inverts'!T13,"AAAAAH7v7j0=")</f>
        <v>#VALUE!</v>
      </c>
      <c r="BK6" t="e">
        <f>AND('Aquatic Inverts'!U13,"AAAAAH7v7j4=")</f>
        <v>#VALUE!</v>
      </c>
      <c r="BL6" t="e">
        <f>AND('Aquatic Inverts'!V13,"AAAAAH7v7j8=")</f>
        <v>#VALUE!</v>
      </c>
      <c r="BM6">
        <f>IF('Aquatic Inverts'!14:14,"AAAAAH7v7kA=",0)</f>
        <v>0</v>
      </c>
      <c r="BN6" t="e">
        <f>AND('Aquatic Inverts'!A14,"AAAAAH7v7kE=")</f>
        <v>#VALUE!</v>
      </c>
      <c r="BO6" t="e">
        <f>AND('Aquatic Inverts'!B14,"AAAAAH7v7kI=")</f>
        <v>#VALUE!</v>
      </c>
      <c r="BP6" t="e">
        <f>AND('Aquatic Inverts'!C14,"AAAAAH7v7kM=")</f>
        <v>#VALUE!</v>
      </c>
      <c r="BQ6" t="e">
        <f>AND('Aquatic Inverts'!D14,"AAAAAH7v7kQ=")</f>
        <v>#VALUE!</v>
      </c>
      <c r="BR6" t="e">
        <f>AND('Aquatic Inverts'!E14,"AAAAAH7v7kU=")</f>
        <v>#VALUE!</v>
      </c>
      <c r="BS6" t="e">
        <f>AND('Aquatic Inverts'!F14,"AAAAAH7v7kY=")</f>
        <v>#VALUE!</v>
      </c>
      <c r="BT6" t="e">
        <f>AND('Aquatic Inverts'!G14,"AAAAAH7v7kc=")</f>
        <v>#VALUE!</v>
      </c>
      <c r="BU6" t="e">
        <f>AND('Aquatic Inverts'!H14,"AAAAAH7v7kg=")</f>
        <v>#VALUE!</v>
      </c>
      <c r="BV6" t="e">
        <f>AND('Aquatic Inverts'!I14,"AAAAAH7v7kk=")</f>
        <v>#VALUE!</v>
      </c>
      <c r="BW6" t="e">
        <f>AND('Aquatic Inverts'!J14,"AAAAAH7v7ko=")</f>
        <v>#VALUE!</v>
      </c>
      <c r="BX6" t="e">
        <f>AND('Aquatic Inverts'!K14,"AAAAAH7v7ks=")</f>
        <v>#VALUE!</v>
      </c>
      <c r="BY6" t="e">
        <f>AND('Aquatic Inverts'!L14,"AAAAAH7v7kw=")</f>
        <v>#VALUE!</v>
      </c>
      <c r="BZ6" t="e">
        <f>AND('Aquatic Inverts'!M14,"AAAAAH7v7k0=")</f>
        <v>#VALUE!</v>
      </c>
      <c r="CA6" t="e">
        <f>AND('Aquatic Inverts'!N14,"AAAAAH7v7k4=")</f>
        <v>#VALUE!</v>
      </c>
      <c r="CB6" t="e">
        <f>AND('Aquatic Inverts'!O14,"AAAAAH7v7k8=")</f>
        <v>#VALUE!</v>
      </c>
      <c r="CC6" t="e">
        <f>AND('Aquatic Inverts'!P14,"AAAAAH7v7lA=")</f>
        <v>#VALUE!</v>
      </c>
      <c r="CD6" t="e">
        <f>AND('Aquatic Inverts'!Q14,"AAAAAH7v7lE=")</f>
        <v>#VALUE!</v>
      </c>
      <c r="CE6" t="e">
        <f>AND('Aquatic Inverts'!R14,"AAAAAH7v7lI=")</f>
        <v>#VALUE!</v>
      </c>
      <c r="CF6" t="e">
        <f>AND('Aquatic Inverts'!S14,"AAAAAH7v7lM=")</f>
        <v>#VALUE!</v>
      </c>
      <c r="CG6" t="e">
        <f>AND('Aquatic Inverts'!T14,"AAAAAH7v7lQ=")</f>
        <v>#VALUE!</v>
      </c>
      <c r="CH6" t="e">
        <f>AND('Aquatic Inverts'!U14,"AAAAAH7v7lU=")</f>
        <v>#VALUE!</v>
      </c>
      <c r="CI6" t="e">
        <f>AND('Aquatic Inverts'!V14,"AAAAAH7v7lY=")</f>
        <v>#VALUE!</v>
      </c>
      <c r="CJ6">
        <f>IF('Aquatic Inverts'!15:15,"AAAAAH7v7lc=",0)</f>
        <v>0</v>
      </c>
      <c r="CK6" t="e">
        <f>AND('Aquatic Inverts'!A15,"AAAAAH7v7lg=")</f>
        <v>#VALUE!</v>
      </c>
      <c r="CL6" t="e">
        <f>AND('Aquatic Inverts'!B15,"AAAAAH7v7lk=")</f>
        <v>#VALUE!</v>
      </c>
      <c r="CM6" t="e">
        <f>AND('Aquatic Inverts'!C15,"AAAAAH7v7lo=")</f>
        <v>#VALUE!</v>
      </c>
      <c r="CN6" t="e">
        <f>AND('Aquatic Inverts'!D15,"AAAAAH7v7ls=")</f>
        <v>#VALUE!</v>
      </c>
      <c r="CO6" t="e">
        <f>AND('Aquatic Inverts'!E15,"AAAAAH7v7lw=")</f>
        <v>#VALUE!</v>
      </c>
      <c r="CP6" t="e">
        <f>AND('Aquatic Inverts'!F15,"AAAAAH7v7l0=")</f>
        <v>#VALUE!</v>
      </c>
      <c r="CQ6" t="e">
        <f>AND('Aquatic Inverts'!G15,"AAAAAH7v7l4=")</f>
        <v>#VALUE!</v>
      </c>
      <c r="CR6" t="e">
        <f>AND('Aquatic Inverts'!H15,"AAAAAH7v7l8=")</f>
        <v>#VALUE!</v>
      </c>
      <c r="CS6" t="e">
        <f>AND('Aquatic Inverts'!I15,"AAAAAH7v7mA=")</f>
        <v>#VALUE!</v>
      </c>
      <c r="CT6" t="e">
        <f>AND('Aquatic Inverts'!J15,"AAAAAH7v7mE=")</f>
        <v>#VALUE!</v>
      </c>
      <c r="CU6" t="e">
        <f>AND('Aquatic Inverts'!K15,"AAAAAH7v7mI=")</f>
        <v>#VALUE!</v>
      </c>
      <c r="CV6" t="e">
        <f>AND('Aquatic Inverts'!L15,"AAAAAH7v7mM=")</f>
        <v>#VALUE!</v>
      </c>
      <c r="CW6" t="e">
        <f>AND('Aquatic Inverts'!M15,"AAAAAH7v7mQ=")</f>
        <v>#VALUE!</v>
      </c>
      <c r="CX6" t="e">
        <f>AND('Aquatic Inverts'!N15,"AAAAAH7v7mU=")</f>
        <v>#VALUE!</v>
      </c>
      <c r="CY6" t="e">
        <f>AND('Aquatic Inverts'!O15,"AAAAAH7v7mY=")</f>
        <v>#VALUE!</v>
      </c>
      <c r="CZ6" t="e">
        <f>AND('Aquatic Inverts'!P15,"AAAAAH7v7mc=")</f>
        <v>#VALUE!</v>
      </c>
      <c r="DA6" t="e">
        <f>AND('Aquatic Inverts'!Q15,"AAAAAH7v7mg=")</f>
        <v>#VALUE!</v>
      </c>
      <c r="DB6" t="e">
        <f>AND('Aquatic Inverts'!R15,"AAAAAH7v7mk=")</f>
        <v>#VALUE!</v>
      </c>
      <c r="DC6" t="e">
        <f>AND('Aquatic Inverts'!S15,"AAAAAH7v7mo=")</f>
        <v>#VALUE!</v>
      </c>
      <c r="DD6" t="e">
        <f>AND('Aquatic Inverts'!T15,"AAAAAH7v7ms=")</f>
        <v>#VALUE!</v>
      </c>
      <c r="DE6" t="e">
        <f>AND('Aquatic Inverts'!U15,"AAAAAH7v7mw=")</f>
        <v>#VALUE!</v>
      </c>
      <c r="DF6" t="e">
        <f>AND('Aquatic Inverts'!V15,"AAAAAH7v7m0=")</f>
        <v>#VALUE!</v>
      </c>
      <c r="DG6">
        <f>IF('Aquatic Inverts'!16:16,"AAAAAH7v7m4=",0)</f>
        <v>0</v>
      </c>
      <c r="DH6" t="e">
        <f>AND('Aquatic Inverts'!A16,"AAAAAH7v7m8=")</f>
        <v>#VALUE!</v>
      </c>
      <c r="DI6" t="e">
        <f>AND('Aquatic Inverts'!B16,"AAAAAH7v7nA=")</f>
        <v>#VALUE!</v>
      </c>
      <c r="DJ6" t="e">
        <f>AND('Aquatic Inverts'!C16,"AAAAAH7v7nE=")</f>
        <v>#VALUE!</v>
      </c>
      <c r="DK6" t="e">
        <f>AND('Aquatic Inverts'!D16,"AAAAAH7v7nI=")</f>
        <v>#VALUE!</v>
      </c>
      <c r="DL6" t="e">
        <f>AND('Aquatic Inverts'!E16,"AAAAAH7v7nM=")</f>
        <v>#VALUE!</v>
      </c>
      <c r="DM6" t="e">
        <f>AND('Aquatic Inverts'!F16,"AAAAAH7v7nQ=")</f>
        <v>#VALUE!</v>
      </c>
      <c r="DN6" t="e">
        <f>AND('Aquatic Inverts'!G16,"AAAAAH7v7nU=")</f>
        <v>#VALUE!</v>
      </c>
      <c r="DO6" t="e">
        <f>AND('Aquatic Inverts'!H16,"AAAAAH7v7nY=")</f>
        <v>#VALUE!</v>
      </c>
      <c r="DP6" t="e">
        <f>AND('Aquatic Inverts'!I16,"AAAAAH7v7nc=")</f>
        <v>#VALUE!</v>
      </c>
      <c r="DQ6" t="e">
        <f>AND('Aquatic Inverts'!J16,"AAAAAH7v7ng=")</f>
        <v>#VALUE!</v>
      </c>
      <c r="DR6" t="e">
        <f>AND('Aquatic Inverts'!K16,"AAAAAH7v7nk=")</f>
        <v>#VALUE!</v>
      </c>
      <c r="DS6" t="e">
        <f>AND('Aquatic Inverts'!L16,"AAAAAH7v7no=")</f>
        <v>#VALUE!</v>
      </c>
      <c r="DT6" t="e">
        <f>AND('Aquatic Inverts'!M16,"AAAAAH7v7ns=")</f>
        <v>#VALUE!</v>
      </c>
      <c r="DU6" t="e">
        <f>AND('Aquatic Inverts'!N16,"AAAAAH7v7nw=")</f>
        <v>#VALUE!</v>
      </c>
      <c r="DV6" t="e">
        <f>AND('Aquatic Inverts'!O16,"AAAAAH7v7n0=")</f>
        <v>#VALUE!</v>
      </c>
      <c r="DW6" t="e">
        <f>AND('Aquatic Inverts'!P16,"AAAAAH7v7n4=")</f>
        <v>#VALUE!</v>
      </c>
      <c r="DX6" t="e">
        <f>AND('Aquatic Inverts'!Q16,"AAAAAH7v7n8=")</f>
        <v>#VALUE!</v>
      </c>
      <c r="DY6" t="e">
        <f>AND('Aquatic Inverts'!R16,"AAAAAH7v7oA=")</f>
        <v>#VALUE!</v>
      </c>
      <c r="DZ6" t="e">
        <f>AND('Aquatic Inverts'!S16,"AAAAAH7v7oE=")</f>
        <v>#VALUE!</v>
      </c>
      <c r="EA6" t="e">
        <f>AND('Aquatic Inverts'!T16,"AAAAAH7v7oI=")</f>
        <v>#VALUE!</v>
      </c>
      <c r="EB6" t="e">
        <f>AND('Aquatic Inverts'!U16,"AAAAAH7v7oM=")</f>
        <v>#VALUE!</v>
      </c>
      <c r="EC6" t="e">
        <f>AND('Aquatic Inverts'!V16,"AAAAAH7v7oQ=")</f>
        <v>#VALUE!</v>
      </c>
      <c r="ED6">
        <f>IF('Aquatic Inverts'!17:17,"AAAAAH7v7oU=",0)</f>
        <v>0</v>
      </c>
      <c r="EE6" t="e">
        <f>AND('Aquatic Inverts'!A17,"AAAAAH7v7oY=")</f>
        <v>#VALUE!</v>
      </c>
      <c r="EF6" t="e">
        <f>AND('Aquatic Inverts'!B17,"AAAAAH7v7oc=")</f>
        <v>#VALUE!</v>
      </c>
      <c r="EG6" t="e">
        <f>AND('Aquatic Inverts'!C17,"AAAAAH7v7og=")</f>
        <v>#VALUE!</v>
      </c>
      <c r="EH6" t="e">
        <f>AND('Aquatic Inverts'!D17,"AAAAAH7v7ok=")</f>
        <v>#VALUE!</v>
      </c>
      <c r="EI6" t="e">
        <f>AND('Aquatic Inverts'!E17,"AAAAAH7v7oo=")</f>
        <v>#VALUE!</v>
      </c>
      <c r="EJ6" t="e">
        <f>AND('Aquatic Inverts'!F17,"AAAAAH7v7os=")</f>
        <v>#VALUE!</v>
      </c>
      <c r="EK6" t="e">
        <f>AND('Aquatic Inverts'!G17,"AAAAAH7v7ow=")</f>
        <v>#VALUE!</v>
      </c>
      <c r="EL6" t="e">
        <f>AND('Aquatic Inverts'!H17,"AAAAAH7v7o0=")</f>
        <v>#VALUE!</v>
      </c>
      <c r="EM6" t="e">
        <f>AND('Aquatic Inverts'!I17,"AAAAAH7v7o4=")</f>
        <v>#VALUE!</v>
      </c>
      <c r="EN6" t="e">
        <f>AND('Aquatic Inverts'!J17,"AAAAAH7v7o8=")</f>
        <v>#VALUE!</v>
      </c>
      <c r="EO6" t="e">
        <f>AND('Aquatic Inverts'!K17,"AAAAAH7v7pA=")</f>
        <v>#VALUE!</v>
      </c>
      <c r="EP6" t="e">
        <f>AND('Aquatic Inverts'!L17,"AAAAAH7v7pE=")</f>
        <v>#VALUE!</v>
      </c>
      <c r="EQ6" t="e">
        <f>AND('Aquatic Inverts'!M17,"AAAAAH7v7pI=")</f>
        <v>#VALUE!</v>
      </c>
      <c r="ER6" t="e">
        <f>AND('Aquatic Inverts'!N17,"AAAAAH7v7pM=")</f>
        <v>#VALUE!</v>
      </c>
      <c r="ES6" t="e">
        <f>AND('Aquatic Inverts'!O17,"AAAAAH7v7pQ=")</f>
        <v>#VALUE!</v>
      </c>
      <c r="ET6" t="e">
        <f>AND('Aquatic Inverts'!P17,"AAAAAH7v7pU=")</f>
        <v>#VALUE!</v>
      </c>
      <c r="EU6" t="e">
        <f>AND('Aquatic Inverts'!Q17,"AAAAAH7v7pY=")</f>
        <v>#VALUE!</v>
      </c>
      <c r="EV6" t="e">
        <f>AND('Aquatic Inverts'!R17,"AAAAAH7v7pc=")</f>
        <v>#VALUE!</v>
      </c>
      <c r="EW6" t="e">
        <f>AND('Aquatic Inverts'!S17,"AAAAAH7v7pg=")</f>
        <v>#VALUE!</v>
      </c>
      <c r="EX6" t="e">
        <f>AND('Aquatic Inverts'!T17,"AAAAAH7v7pk=")</f>
        <v>#VALUE!</v>
      </c>
      <c r="EY6" t="e">
        <f>AND('Aquatic Inverts'!U17,"AAAAAH7v7po=")</f>
        <v>#VALUE!</v>
      </c>
      <c r="EZ6" t="e">
        <f>AND('Aquatic Inverts'!V17,"AAAAAH7v7ps=")</f>
        <v>#VALUE!</v>
      </c>
      <c r="FA6">
        <f>IF('Aquatic Inverts'!18:18,"AAAAAH7v7pw=",0)</f>
        <v>0</v>
      </c>
      <c r="FB6" t="e">
        <f>AND('Aquatic Inverts'!A18,"AAAAAH7v7p0=")</f>
        <v>#VALUE!</v>
      </c>
      <c r="FC6" t="e">
        <f>AND('Aquatic Inverts'!B18,"AAAAAH7v7p4=")</f>
        <v>#VALUE!</v>
      </c>
      <c r="FD6" t="e">
        <f>AND('Aquatic Inverts'!C18,"AAAAAH7v7p8=")</f>
        <v>#VALUE!</v>
      </c>
      <c r="FE6" t="e">
        <f>AND('Aquatic Inverts'!D18,"AAAAAH7v7qA=")</f>
        <v>#VALUE!</v>
      </c>
      <c r="FF6" t="e">
        <f>AND('Aquatic Inverts'!E18,"AAAAAH7v7qE=")</f>
        <v>#VALUE!</v>
      </c>
      <c r="FG6" t="e">
        <f>AND('Aquatic Inverts'!F18,"AAAAAH7v7qI=")</f>
        <v>#VALUE!</v>
      </c>
      <c r="FH6" t="e">
        <f>AND('Aquatic Inverts'!G18,"AAAAAH7v7qM=")</f>
        <v>#VALUE!</v>
      </c>
      <c r="FI6" t="e">
        <f>AND('Aquatic Inverts'!H18,"AAAAAH7v7qQ=")</f>
        <v>#VALUE!</v>
      </c>
      <c r="FJ6" t="e">
        <f>AND('Aquatic Inverts'!I18,"AAAAAH7v7qU=")</f>
        <v>#VALUE!</v>
      </c>
      <c r="FK6" t="e">
        <f>AND('Aquatic Inverts'!J18,"AAAAAH7v7qY=")</f>
        <v>#VALUE!</v>
      </c>
      <c r="FL6" t="e">
        <f>AND('Aquatic Inverts'!K18,"AAAAAH7v7qc=")</f>
        <v>#VALUE!</v>
      </c>
      <c r="FM6" t="e">
        <f>AND('Aquatic Inverts'!L18,"AAAAAH7v7qg=")</f>
        <v>#VALUE!</v>
      </c>
      <c r="FN6" t="e">
        <f>AND('Aquatic Inverts'!M18,"AAAAAH7v7qk=")</f>
        <v>#VALUE!</v>
      </c>
      <c r="FO6" t="e">
        <f>AND('Aquatic Inverts'!N18,"AAAAAH7v7qo=")</f>
        <v>#VALUE!</v>
      </c>
      <c r="FP6" t="e">
        <f>AND('Aquatic Inverts'!O18,"AAAAAH7v7qs=")</f>
        <v>#VALUE!</v>
      </c>
      <c r="FQ6" t="e">
        <f>AND('Aquatic Inverts'!P18,"AAAAAH7v7qw=")</f>
        <v>#VALUE!</v>
      </c>
      <c r="FR6" t="e">
        <f>AND('Aquatic Inverts'!Q18,"AAAAAH7v7q0=")</f>
        <v>#VALUE!</v>
      </c>
      <c r="FS6" t="e">
        <f>AND('Aquatic Inverts'!R18,"AAAAAH7v7q4=")</f>
        <v>#VALUE!</v>
      </c>
      <c r="FT6" t="e">
        <f>AND('Aquatic Inverts'!S18,"AAAAAH7v7q8=")</f>
        <v>#VALUE!</v>
      </c>
      <c r="FU6" t="e">
        <f>AND('Aquatic Inverts'!T18,"AAAAAH7v7rA=")</f>
        <v>#VALUE!</v>
      </c>
      <c r="FV6" t="e">
        <f>AND('Aquatic Inverts'!U18,"AAAAAH7v7rE=")</f>
        <v>#VALUE!</v>
      </c>
      <c r="FW6" t="e">
        <f>AND('Aquatic Inverts'!V18,"AAAAAH7v7rI=")</f>
        <v>#VALUE!</v>
      </c>
      <c r="FX6">
        <f>IF('Aquatic Inverts'!19:19,"AAAAAH7v7rM=",0)</f>
        <v>0</v>
      </c>
      <c r="FY6" t="e">
        <f>AND('Aquatic Inverts'!A19,"AAAAAH7v7rQ=")</f>
        <v>#VALUE!</v>
      </c>
      <c r="FZ6" t="e">
        <f>AND('Aquatic Inverts'!B19,"AAAAAH7v7rU=")</f>
        <v>#VALUE!</v>
      </c>
      <c r="GA6" t="e">
        <f>AND('Aquatic Inverts'!C19,"AAAAAH7v7rY=")</f>
        <v>#VALUE!</v>
      </c>
      <c r="GB6" t="e">
        <f>AND('Aquatic Inverts'!D19,"AAAAAH7v7rc=")</f>
        <v>#VALUE!</v>
      </c>
      <c r="GC6" t="e">
        <f>AND('Aquatic Inverts'!E19,"AAAAAH7v7rg=")</f>
        <v>#VALUE!</v>
      </c>
      <c r="GD6" t="e">
        <f>AND('Aquatic Inverts'!F19,"AAAAAH7v7rk=")</f>
        <v>#VALUE!</v>
      </c>
      <c r="GE6" t="e">
        <f>AND('Aquatic Inverts'!G19,"AAAAAH7v7ro=")</f>
        <v>#VALUE!</v>
      </c>
      <c r="GF6" t="e">
        <f>AND('Aquatic Inverts'!H19,"AAAAAH7v7rs=")</f>
        <v>#VALUE!</v>
      </c>
      <c r="GG6" t="e">
        <f>AND('Aquatic Inverts'!I19,"AAAAAH7v7rw=")</f>
        <v>#VALUE!</v>
      </c>
      <c r="GH6" t="e">
        <f>AND('Aquatic Inverts'!J19,"AAAAAH7v7r0=")</f>
        <v>#VALUE!</v>
      </c>
      <c r="GI6" t="e">
        <f>AND('Aquatic Inverts'!K19,"AAAAAH7v7r4=")</f>
        <v>#VALUE!</v>
      </c>
      <c r="GJ6" t="e">
        <f>AND('Aquatic Inverts'!L19,"AAAAAH7v7r8=")</f>
        <v>#VALUE!</v>
      </c>
      <c r="GK6" t="e">
        <f>AND('Aquatic Inverts'!M19,"AAAAAH7v7sA=")</f>
        <v>#VALUE!</v>
      </c>
      <c r="GL6" t="e">
        <f>AND('Aquatic Inverts'!N19,"AAAAAH7v7sE=")</f>
        <v>#VALUE!</v>
      </c>
      <c r="GM6" t="e">
        <f>AND('Aquatic Inverts'!O19,"AAAAAH7v7sI=")</f>
        <v>#VALUE!</v>
      </c>
      <c r="GN6" t="e">
        <f>AND('Aquatic Inverts'!P19,"AAAAAH7v7sM=")</f>
        <v>#VALUE!</v>
      </c>
      <c r="GO6" t="e">
        <f>AND('Aquatic Inverts'!Q19,"AAAAAH7v7sQ=")</f>
        <v>#VALUE!</v>
      </c>
      <c r="GP6" t="e">
        <f>AND('Aquatic Inverts'!R19,"AAAAAH7v7sU=")</f>
        <v>#VALUE!</v>
      </c>
      <c r="GQ6" t="e">
        <f>AND('Aquatic Inverts'!S19,"AAAAAH7v7sY=")</f>
        <v>#VALUE!</v>
      </c>
      <c r="GR6" t="e">
        <f>AND('Aquatic Inverts'!T19,"AAAAAH7v7sc=")</f>
        <v>#VALUE!</v>
      </c>
      <c r="GS6" t="e">
        <f>AND('Aquatic Inverts'!U19,"AAAAAH7v7sg=")</f>
        <v>#VALUE!</v>
      </c>
      <c r="GT6" t="e">
        <f>AND('Aquatic Inverts'!V19,"AAAAAH7v7sk=")</f>
        <v>#VALUE!</v>
      </c>
      <c r="GU6">
        <f>IF('Aquatic Inverts'!20:20,"AAAAAH7v7so=",0)</f>
        <v>0</v>
      </c>
      <c r="GV6" t="e">
        <f>AND('Aquatic Inverts'!A20,"AAAAAH7v7ss=")</f>
        <v>#VALUE!</v>
      </c>
      <c r="GW6" t="e">
        <f>AND('Aquatic Inverts'!B20,"AAAAAH7v7sw=")</f>
        <v>#VALUE!</v>
      </c>
      <c r="GX6" t="e">
        <f>AND('Aquatic Inverts'!C20,"AAAAAH7v7s0=")</f>
        <v>#VALUE!</v>
      </c>
      <c r="GY6" t="e">
        <f>AND('Aquatic Inverts'!D20,"AAAAAH7v7s4=")</f>
        <v>#VALUE!</v>
      </c>
      <c r="GZ6" t="e">
        <f>AND('Aquatic Inverts'!E20,"AAAAAH7v7s8=")</f>
        <v>#VALUE!</v>
      </c>
      <c r="HA6" t="e">
        <f>AND('Aquatic Inverts'!F20,"AAAAAH7v7tA=")</f>
        <v>#VALUE!</v>
      </c>
      <c r="HB6" t="e">
        <f>AND('Aquatic Inverts'!G20,"AAAAAH7v7tE=")</f>
        <v>#VALUE!</v>
      </c>
      <c r="HC6" t="e">
        <f>AND('Aquatic Inverts'!H20,"AAAAAH7v7tI=")</f>
        <v>#VALUE!</v>
      </c>
      <c r="HD6" t="e">
        <f>AND('Aquatic Inverts'!I20,"AAAAAH7v7tM=")</f>
        <v>#VALUE!</v>
      </c>
      <c r="HE6" t="e">
        <f>AND('Aquatic Inverts'!J20,"AAAAAH7v7tQ=")</f>
        <v>#VALUE!</v>
      </c>
      <c r="HF6" t="e">
        <f>AND('Aquatic Inverts'!K20,"AAAAAH7v7tU=")</f>
        <v>#VALUE!</v>
      </c>
      <c r="HG6" t="e">
        <f>AND('Aquatic Inverts'!L20,"AAAAAH7v7tY=")</f>
        <v>#VALUE!</v>
      </c>
      <c r="HH6" t="e">
        <f>AND('Aquatic Inverts'!M20,"AAAAAH7v7tc=")</f>
        <v>#VALUE!</v>
      </c>
      <c r="HI6" t="e">
        <f>AND('Aquatic Inverts'!N20,"AAAAAH7v7tg=")</f>
        <v>#VALUE!</v>
      </c>
      <c r="HJ6" t="e">
        <f>AND('Aquatic Inverts'!O20,"AAAAAH7v7tk=")</f>
        <v>#VALUE!</v>
      </c>
      <c r="HK6" t="e">
        <f>AND('Aquatic Inverts'!P20,"AAAAAH7v7to=")</f>
        <v>#VALUE!</v>
      </c>
      <c r="HL6" t="e">
        <f>AND('Aquatic Inverts'!Q20,"AAAAAH7v7ts=")</f>
        <v>#VALUE!</v>
      </c>
      <c r="HM6" t="e">
        <f>AND('Aquatic Inverts'!R20,"AAAAAH7v7tw=")</f>
        <v>#VALUE!</v>
      </c>
      <c r="HN6" t="e">
        <f>AND('Aquatic Inverts'!S20,"AAAAAH7v7t0=")</f>
        <v>#VALUE!</v>
      </c>
      <c r="HO6" t="e">
        <f>AND('Aquatic Inverts'!T20,"AAAAAH7v7t4=")</f>
        <v>#VALUE!</v>
      </c>
      <c r="HP6" t="e">
        <f>AND('Aquatic Inverts'!U20,"AAAAAH7v7t8=")</f>
        <v>#VALUE!</v>
      </c>
      <c r="HQ6" t="e">
        <f>AND('Aquatic Inverts'!V20,"AAAAAH7v7uA=")</f>
        <v>#VALUE!</v>
      </c>
      <c r="HR6">
        <f>IF('Aquatic Inverts'!21:21,"AAAAAH7v7uE=",0)</f>
        <v>0</v>
      </c>
      <c r="HS6" t="e">
        <f>AND('Aquatic Inverts'!A21,"AAAAAH7v7uI=")</f>
        <v>#VALUE!</v>
      </c>
      <c r="HT6" t="e">
        <f>AND('Aquatic Inverts'!B21,"AAAAAH7v7uM=")</f>
        <v>#VALUE!</v>
      </c>
      <c r="HU6" t="e">
        <f>AND('Aquatic Inverts'!C21,"AAAAAH7v7uQ=")</f>
        <v>#VALUE!</v>
      </c>
      <c r="HV6" t="e">
        <f>AND('Aquatic Inverts'!D21,"AAAAAH7v7uU=")</f>
        <v>#VALUE!</v>
      </c>
      <c r="HW6" t="e">
        <f>AND('Aquatic Inverts'!E21,"AAAAAH7v7uY=")</f>
        <v>#VALUE!</v>
      </c>
      <c r="HX6" t="e">
        <f>AND('Aquatic Inverts'!F21,"AAAAAH7v7uc=")</f>
        <v>#VALUE!</v>
      </c>
      <c r="HY6" t="e">
        <f>AND('Aquatic Inverts'!G21,"AAAAAH7v7ug=")</f>
        <v>#VALUE!</v>
      </c>
      <c r="HZ6" t="e">
        <f>AND('Aquatic Inverts'!H21,"AAAAAH7v7uk=")</f>
        <v>#VALUE!</v>
      </c>
      <c r="IA6" t="e">
        <f>AND('Aquatic Inverts'!I21,"AAAAAH7v7uo=")</f>
        <v>#VALUE!</v>
      </c>
      <c r="IB6" t="e">
        <f>AND('Aquatic Inverts'!J21,"AAAAAH7v7us=")</f>
        <v>#VALUE!</v>
      </c>
      <c r="IC6" t="e">
        <f>AND('Aquatic Inverts'!K21,"AAAAAH7v7uw=")</f>
        <v>#VALUE!</v>
      </c>
      <c r="ID6" t="e">
        <f>AND('Aquatic Inverts'!L21,"AAAAAH7v7u0=")</f>
        <v>#VALUE!</v>
      </c>
      <c r="IE6" t="e">
        <f>AND('Aquatic Inverts'!M21,"AAAAAH7v7u4=")</f>
        <v>#VALUE!</v>
      </c>
      <c r="IF6" t="e">
        <f>AND('Aquatic Inverts'!N21,"AAAAAH7v7u8=")</f>
        <v>#VALUE!</v>
      </c>
      <c r="IG6" t="e">
        <f>AND('Aquatic Inverts'!O21,"AAAAAH7v7vA=")</f>
        <v>#VALUE!</v>
      </c>
      <c r="IH6" t="e">
        <f>AND('Aquatic Inverts'!P21,"AAAAAH7v7vE=")</f>
        <v>#VALUE!</v>
      </c>
      <c r="II6" t="e">
        <f>AND('Aquatic Inverts'!Q21,"AAAAAH7v7vI=")</f>
        <v>#VALUE!</v>
      </c>
      <c r="IJ6" t="e">
        <f>AND('Aquatic Inverts'!R21,"AAAAAH7v7vM=")</f>
        <v>#VALUE!</v>
      </c>
      <c r="IK6" t="e">
        <f>AND('Aquatic Inverts'!S21,"AAAAAH7v7vQ=")</f>
        <v>#VALUE!</v>
      </c>
      <c r="IL6" t="e">
        <f>AND('Aquatic Inverts'!T21,"AAAAAH7v7vU=")</f>
        <v>#VALUE!</v>
      </c>
      <c r="IM6" t="e">
        <f>AND('Aquatic Inverts'!U21,"AAAAAH7v7vY=")</f>
        <v>#VALUE!</v>
      </c>
      <c r="IN6" t="e">
        <f>AND('Aquatic Inverts'!V21,"AAAAAH7v7vc=")</f>
        <v>#VALUE!</v>
      </c>
      <c r="IO6">
        <f>IF('Aquatic Inverts'!22:22,"AAAAAH7v7vg=",0)</f>
        <v>0</v>
      </c>
      <c r="IP6" t="e">
        <f>AND('Aquatic Inverts'!A22,"AAAAAH7v7vk=")</f>
        <v>#VALUE!</v>
      </c>
      <c r="IQ6" t="e">
        <f>AND('Aquatic Inverts'!B22,"AAAAAH7v7vo=")</f>
        <v>#VALUE!</v>
      </c>
      <c r="IR6" t="e">
        <f>AND('Aquatic Inverts'!C22,"AAAAAH7v7vs=")</f>
        <v>#VALUE!</v>
      </c>
      <c r="IS6" t="e">
        <f>AND('Aquatic Inverts'!D22,"AAAAAH7v7vw=")</f>
        <v>#VALUE!</v>
      </c>
      <c r="IT6" t="e">
        <f>AND('Aquatic Inverts'!E22,"AAAAAH7v7v0=")</f>
        <v>#VALUE!</v>
      </c>
      <c r="IU6" t="e">
        <f>AND('Aquatic Inverts'!F22,"AAAAAH7v7v4=")</f>
        <v>#VALUE!</v>
      </c>
      <c r="IV6" t="e">
        <f>AND('Aquatic Inverts'!G22,"AAAAAH7v7v8=")</f>
        <v>#VALUE!</v>
      </c>
    </row>
    <row r="7" spans="1:256">
      <c r="A7" t="e">
        <f>AND('Aquatic Inverts'!H22,"AAAAAHpf5gA=")</f>
        <v>#VALUE!</v>
      </c>
      <c r="B7" t="e">
        <f>AND('Aquatic Inverts'!I22,"AAAAAHpf5gE=")</f>
        <v>#VALUE!</v>
      </c>
      <c r="C7" t="e">
        <f>AND('Aquatic Inverts'!J22,"AAAAAHpf5gI=")</f>
        <v>#VALUE!</v>
      </c>
      <c r="D7" t="e">
        <f>AND('Aquatic Inverts'!K22,"AAAAAHpf5gM=")</f>
        <v>#VALUE!</v>
      </c>
      <c r="E7" t="e">
        <f>AND('Aquatic Inverts'!L22,"AAAAAHpf5gQ=")</f>
        <v>#VALUE!</v>
      </c>
      <c r="F7" t="e">
        <f>AND('Aquatic Inverts'!M22,"AAAAAHpf5gU=")</f>
        <v>#VALUE!</v>
      </c>
      <c r="G7" t="e">
        <f>AND('Aquatic Inverts'!N22,"AAAAAHpf5gY=")</f>
        <v>#VALUE!</v>
      </c>
      <c r="H7" t="e">
        <f>AND('Aquatic Inverts'!O22,"AAAAAHpf5gc=")</f>
        <v>#VALUE!</v>
      </c>
      <c r="I7" t="e">
        <f>AND('Aquatic Inverts'!P22,"AAAAAHpf5gg=")</f>
        <v>#VALUE!</v>
      </c>
      <c r="J7" t="e">
        <f>AND('Aquatic Inverts'!Q22,"AAAAAHpf5gk=")</f>
        <v>#VALUE!</v>
      </c>
      <c r="K7" t="e">
        <f>AND('Aquatic Inverts'!R22,"AAAAAHpf5go=")</f>
        <v>#VALUE!</v>
      </c>
      <c r="L7" t="e">
        <f>AND('Aquatic Inverts'!S22,"AAAAAHpf5gs=")</f>
        <v>#VALUE!</v>
      </c>
      <c r="M7" t="e">
        <f>AND('Aquatic Inverts'!T22,"AAAAAHpf5gw=")</f>
        <v>#VALUE!</v>
      </c>
      <c r="N7" t="e">
        <f>AND('Aquatic Inverts'!U22,"AAAAAHpf5g0=")</f>
        <v>#VALUE!</v>
      </c>
      <c r="O7" t="e">
        <f>AND('Aquatic Inverts'!V22,"AAAAAHpf5g4=")</f>
        <v>#VALUE!</v>
      </c>
      <c r="P7">
        <f>IF('Aquatic Inverts'!23:23,"AAAAAHpf5g8=",0)</f>
        <v>0</v>
      </c>
      <c r="Q7" t="e">
        <f>AND('Aquatic Inverts'!A23,"AAAAAHpf5hA=")</f>
        <v>#VALUE!</v>
      </c>
      <c r="R7" t="e">
        <f>AND('Aquatic Inverts'!B23,"AAAAAHpf5hE=")</f>
        <v>#VALUE!</v>
      </c>
      <c r="S7" t="e">
        <f>AND('Aquatic Inverts'!C23,"AAAAAHpf5hI=")</f>
        <v>#VALUE!</v>
      </c>
      <c r="T7" t="e">
        <f>AND('Aquatic Inverts'!D23,"AAAAAHpf5hM=")</f>
        <v>#VALUE!</v>
      </c>
      <c r="U7" t="e">
        <f>AND('Aquatic Inverts'!E23,"AAAAAHpf5hQ=")</f>
        <v>#VALUE!</v>
      </c>
      <c r="V7" t="e">
        <f>AND('Aquatic Inverts'!F23,"AAAAAHpf5hU=")</f>
        <v>#VALUE!</v>
      </c>
      <c r="W7" t="e">
        <f>AND('Aquatic Inverts'!G23,"AAAAAHpf5hY=")</f>
        <v>#VALUE!</v>
      </c>
      <c r="X7" t="e">
        <f>AND('Aquatic Inverts'!H23,"AAAAAHpf5hc=")</f>
        <v>#VALUE!</v>
      </c>
      <c r="Y7" t="e">
        <f>AND('Aquatic Inverts'!I23,"AAAAAHpf5hg=")</f>
        <v>#VALUE!</v>
      </c>
      <c r="Z7" t="e">
        <f>AND('Aquatic Inverts'!J23,"AAAAAHpf5hk=")</f>
        <v>#VALUE!</v>
      </c>
      <c r="AA7" t="e">
        <f>AND('Aquatic Inverts'!K23,"AAAAAHpf5ho=")</f>
        <v>#VALUE!</v>
      </c>
      <c r="AB7" t="e">
        <f>AND('Aquatic Inverts'!L23,"AAAAAHpf5hs=")</f>
        <v>#VALUE!</v>
      </c>
      <c r="AC7" t="e">
        <f>AND('Aquatic Inverts'!M23,"AAAAAHpf5hw=")</f>
        <v>#VALUE!</v>
      </c>
      <c r="AD7" t="e">
        <f>AND('Aquatic Inverts'!N23,"AAAAAHpf5h0=")</f>
        <v>#VALUE!</v>
      </c>
      <c r="AE7" t="e">
        <f>AND('Aquatic Inverts'!O23,"AAAAAHpf5h4=")</f>
        <v>#VALUE!</v>
      </c>
      <c r="AF7" t="e">
        <f>AND('Aquatic Inverts'!P23,"AAAAAHpf5h8=")</f>
        <v>#VALUE!</v>
      </c>
      <c r="AG7" t="e">
        <f>AND('Aquatic Inverts'!Q23,"AAAAAHpf5iA=")</f>
        <v>#VALUE!</v>
      </c>
      <c r="AH7" t="e">
        <f>AND('Aquatic Inverts'!R23,"AAAAAHpf5iE=")</f>
        <v>#VALUE!</v>
      </c>
      <c r="AI7" t="e">
        <f>AND('Aquatic Inverts'!S23,"AAAAAHpf5iI=")</f>
        <v>#VALUE!</v>
      </c>
      <c r="AJ7" t="e">
        <f>AND('Aquatic Inverts'!T23,"AAAAAHpf5iM=")</f>
        <v>#VALUE!</v>
      </c>
      <c r="AK7" t="e">
        <f>AND('Aquatic Inverts'!U23,"AAAAAHpf5iQ=")</f>
        <v>#VALUE!</v>
      </c>
      <c r="AL7" t="e">
        <f>AND('Aquatic Inverts'!V23,"AAAAAHpf5iU=")</f>
        <v>#VALUE!</v>
      </c>
      <c r="AM7">
        <f>IF('Aquatic Inverts'!24:24,"AAAAAHpf5iY=",0)</f>
        <v>0</v>
      </c>
      <c r="AN7" t="e">
        <f>AND('Aquatic Inverts'!A24,"AAAAAHpf5ic=")</f>
        <v>#VALUE!</v>
      </c>
      <c r="AO7" t="e">
        <f>AND('Aquatic Inverts'!B24,"AAAAAHpf5ig=")</f>
        <v>#VALUE!</v>
      </c>
      <c r="AP7" t="e">
        <f>AND('Aquatic Inverts'!C24,"AAAAAHpf5ik=")</f>
        <v>#VALUE!</v>
      </c>
      <c r="AQ7" t="e">
        <f>AND('Aquatic Inverts'!D24,"AAAAAHpf5io=")</f>
        <v>#VALUE!</v>
      </c>
      <c r="AR7" t="e">
        <f>AND('Aquatic Inverts'!E24,"AAAAAHpf5is=")</f>
        <v>#VALUE!</v>
      </c>
      <c r="AS7" t="e">
        <f>AND('Aquatic Inverts'!F24,"AAAAAHpf5iw=")</f>
        <v>#VALUE!</v>
      </c>
      <c r="AT7" t="e">
        <f>AND('Aquatic Inverts'!G24,"AAAAAHpf5i0=")</f>
        <v>#VALUE!</v>
      </c>
      <c r="AU7" t="e">
        <f>AND('Aquatic Inverts'!H24,"AAAAAHpf5i4=")</f>
        <v>#VALUE!</v>
      </c>
      <c r="AV7" t="e">
        <f>AND('Aquatic Inverts'!I24,"AAAAAHpf5i8=")</f>
        <v>#VALUE!</v>
      </c>
      <c r="AW7" t="e">
        <f>AND('Aquatic Inverts'!J24,"AAAAAHpf5jA=")</f>
        <v>#VALUE!</v>
      </c>
      <c r="AX7" t="e">
        <f>AND('Aquatic Inverts'!K24,"AAAAAHpf5jE=")</f>
        <v>#VALUE!</v>
      </c>
      <c r="AY7" t="e">
        <f>AND('Aquatic Inverts'!L24,"AAAAAHpf5jI=")</f>
        <v>#VALUE!</v>
      </c>
      <c r="AZ7" t="e">
        <f>AND('Aquatic Inverts'!M24,"AAAAAHpf5jM=")</f>
        <v>#VALUE!</v>
      </c>
      <c r="BA7" t="e">
        <f>AND('Aquatic Inverts'!N24,"AAAAAHpf5jQ=")</f>
        <v>#VALUE!</v>
      </c>
      <c r="BB7" t="e">
        <f>AND('Aquatic Inverts'!O24,"AAAAAHpf5jU=")</f>
        <v>#VALUE!</v>
      </c>
      <c r="BC7" t="e">
        <f>AND('Aquatic Inverts'!P24,"AAAAAHpf5jY=")</f>
        <v>#VALUE!</v>
      </c>
      <c r="BD7" t="e">
        <f>AND('Aquatic Inverts'!Q24,"AAAAAHpf5jc=")</f>
        <v>#VALUE!</v>
      </c>
      <c r="BE7" t="e">
        <f>AND('Aquatic Inverts'!R24,"AAAAAHpf5jg=")</f>
        <v>#VALUE!</v>
      </c>
      <c r="BF7" t="e">
        <f>AND('Aquatic Inverts'!S24,"AAAAAHpf5jk=")</f>
        <v>#VALUE!</v>
      </c>
      <c r="BG7" t="e">
        <f>AND('Aquatic Inverts'!T24,"AAAAAHpf5jo=")</f>
        <v>#VALUE!</v>
      </c>
      <c r="BH7" t="e">
        <f>AND('Aquatic Inverts'!U24,"AAAAAHpf5js=")</f>
        <v>#VALUE!</v>
      </c>
      <c r="BI7" t="e">
        <f>AND('Aquatic Inverts'!V24,"AAAAAHpf5jw=")</f>
        <v>#VALUE!</v>
      </c>
      <c r="BJ7">
        <f>IF('Aquatic Inverts'!25:25,"AAAAAHpf5j0=",0)</f>
        <v>0</v>
      </c>
      <c r="BK7" t="e">
        <f>AND('Aquatic Inverts'!A25,"AAAAAHpf5j4=")</f>
        <v>#VALUE!</v>
      </c>
      <c r="BL7" t="e">
        <f>AND('Aquatic Inverts'!B25,"AAAAAHpf5j8=")</f>
        <v>#VALUE!</v>
      </c>
      <c r="BM7" t="e">
        <f>AND('Aquatic Inverts'!C25,"AAAAAHpf5kA=")</f>
        <v>#VALUE!</v>
      </c>
      <c r="BN7" t="e">
        <f>AND('Aquatic Inverts'!D25,"AAAAAHpf5kE=")</f>
        <v>#VALUE!</v>
      </c>
      <c r="BO7" t="e">
        <f>AND('Aquatic Inverts'!E25,"AAAAAHpf5kI=")</f>
        <v>#VALUE!</v>
      </c>
      <c r="BP7" t="e">
        <f>AND('Aquatic Inverts'!F25,"AAAAAHpf5kM=")</f>
        <v>#VALUE!</v>
      </c>
      <c r="BQ7" t="e">
        <f>AND('Aquatic Inverts'!G25,"AAAAAHpf5kQ=")</f>
        <v>#VALUE!</v>
      </c>
      <c r="BR7" t="e">
        <f>AND('Aquatic Inverts'!H25,"AAAAAHpf5kU=")</f>
        <v>#VALUE!</v>
      </c>
      <c r="BS7" t="e">
        <f>AND('Aquatic Inverts'!I25,"AAAAAHpf5kY=")</f>
        <v>#VALUE!</v>
      </c>
      <c r="BT7" t="e">
        <f>AND('Aquatic Inverts'!J25,"AAAAAHpf5kc=")</f>
        <v>#VALUE!</v>
      </c>
      <c r="BU7" t="e">
        <f>AND('Aquatic Inverts'!K25,"AAAAAHpf5kg=")</f>
        <v>#VALUE!</v>
      </c>
      <c r="BV7" t="e">
        <f>AND('Aquatic Inverts'!L25,"AAAAAHpf5kk=")</f>
        <v>#VALUE!</v>
      </c>
      <c r="BW7" t="e">
        <f>AND('Aquatic Inverts'!M25,"AAAAAHpf5ko=")</f>
        <v>#VALUE!</v>
      </c>
      <c r="BX7" t="e">
        <f>AND('Aquatic Inverts'!N25,"AAAAAHpf5ks=")</f>
        <v>#VALUE!</v>
      </c>
      <c r="BY7" t="e">
        <f>AND('Aquatic Inverts'!O25,"AAAAAHpf5kw=")</f>
        <v>#VALUE!</v>
      </c>
      <c r="BZ7" t="e">
        <f>AND('Aquatic Inverts'!P25,"AAAAAHpf5k0=")</f>
        <v>#VALUE!</v>
      </c>
      <c r="CA7" t="e">
        <f>AND('Aquatic Inverts'!Q25,"AAAAAHpf5k4=")</f>
        <v>#VALUE!</v>
      </c>
      <c r="CB7" t="e">
        <f>AND('Aquatic Inverts'!R25,"AAAAAHpf5k8=")</f>
        <v>#VALUE!</v>
      </c>
      <c r="CC7" t="e">
        <f>AND('Aquatic Inverts'!S25,"AAAAAHpf5lA=")</f>
        <v>#VALUE!</v>
      </c>
      <c r="CD7" t="e">
        <f>AND('Aquatic Inverts'!T25,"AAAAAHpf5lE=")</f>
        <v>#VALUE!</v>
      </c>
      <c r="CE7" t="e">
        <f>AND('Aquatic Inverts'!U25,"AAAAAHpf5lI=")</f>
        <v>#VALUE!</v>
      </c>
      <c r="CF7" t="e">
        <f>AND('Aquatic Inverts'!V25,"AAAAAHpf5lM=")</f>
        <v>#VALUE!</v>
      </c>
      <c r="CG7">
        <f>IF('Aquatic Inverts'!26:26,"AAAAAHpf5lQ=",0)</f>
        <v>0</v>
      </c>
      <c r="CH7" t="e">
        <f>AND('Aquatic Inverts'!A26,"AAAAAHpf5lU=")</f>
        <v>#VALUE!</v>
      </c>
      <c r="CI7" t="e">
        <f>AND('Aquatic Inverts'!B26,"AAAAAHpf5lY=")</f>
        <v>#VALUE!</v>
      </c>
      <c r="CJ7" t="e">
        <f>AND('Aquatic Inverts'!C26,"AAAAAHpf5lc=")</f>
        <v>#VALUE!</v>
      </c>
      <c r="CK7" t="e">
        <f>AND('Aquatic Inverts'!D26,"AAAAAHpf5lg=")</f>
        <v>#VALUE!</v>
      </c>
      <c r="CL7" t="e">
        <f>AND('Aquatic Inverts'!E26,"AAAAAHpf5lk=")</f>
        <v>#VALUE!</v>
      </c>
      <c r="CM7" t="e">
        <f>AND('Aquatic Inverts'!F26,"AAAAAHpf5lo=")</f>
        <v>#VALUE!</v>
      </c>
      <c r="CN7" t="e">
        <f>AND('Aquatic Inverts'!G26,"AAAAAHpf5ls=")</f>
        <v>#VALUE!</v>
      </c>
      <c r="CO7" t="e">
        <f>AND('Aquatic Inverts'!H26,"AAAAAHpf5lw=")</f>
        <v>#VALUE!</v>
      </c>
      <c r="CP7" t="e">
        <f>AND('Aquatic Inverts'!I26,"AAAAAHpf5l0=")</f>
        <v>#VALUE!</v>
      </c>
      <c r="CQ7" t="e">
        <f>AND('Aquatic Inverts'!J26,"AAAAAHpf5l4=")</f>
        <v>#VALUE!</v>
      </c>
      <c r="CR7" t="e">
        <f>AND('Aquatic Inverts'!K26,"AAAAAHpf5l8=")</f>
        <v>#VALUE!</v>
      </c>
      <c r="CS7" t="e">
        <f>AND('Aquatic Inverts'!L26,"AAAAAHpf5mA=")</f>
        <v>#VALUE!</v>
      </c>
      <c r="CT7" t="e">
        <f>AND('Aquatic Inverts'!M26,"AAAAAHpf5mE=")</f>
        <v>#VALUE!</v>
      </c>
      <c r="CU7" t="e">
        <f>AND('Aquatic Inverts'!N26,"AAAAAHpf5mI=")</f>
        <v>#VALUE!</v>
      </c>
      <c r="CV7" t="e">
        <f>AND('Aquatic Inverts'!O26,"AAAAAHpf5mM=")</f>
        <v>#VALUE!</v>
      </c>
      <c r="CW7" t="e">
        <f>AND('Aquatic Inverts'!P26,"AAAAAHpf5mQ=")</f>
        <v>#VALUE!</v>
      </c>
      <c r="CX7" t="e">
        <f>AND('Aquatic Inverts'!Q26,"AAAAAHpf5mU=")</f>
        <v>#VALUE!</v>
      </c>
      <c r="CY7" t="e">
        <f>AND('Aquatic Inverts'!R26,"AAAAAHpf5mY=")</f>
        <v>#VALUE!</v>
      </c>
      <c r="CZ7" t="e">
        <f>AND('Aquatic Inverts'!S26,"AAAAAHpf5mc=")</f>
        <v>#VALUE!</v>
      </c>
      <c r="DA7" t="e">
        <f>AND('Aquatic Inverts'!T26,"AAAAAHpf5mg=")</f>
        <v>#VALUE!</v>
      </c>
      <c r="DB7" t="e">
        <f>AND('Aquatic Inverts'!U26,"AAAAAHpf5mk=")</f>
        <v>#VALUE!</v>
      </c>
      <c r="DC7" t="e">
        <f>AND('Aquatic Inverts'!V26,"AAAAAHpf5mo=")</f>
        <v>#VALUE!</v>
      </c>
      <c r="DD7">
        <f>IF('Aquatic Inverts'!27:27,"AAAAAHpf5ms=",0)</f>
        <v>0</v>
      </c>
      <c r="DE7" t="e">
        <f>AND('Aquatic Inverts'!A27,"AAAAAHpf5mw=")</f>
        <v>#VALUE!</v>
      </c>
      <c r="DF7" t="e">
        <f>AND('Aquatic Inverts'!B27,"AAAAAHpf5m0=")</f>
        <v>#VALUE!</v>
      </c>
      <c r="DG7" t="e">
        <f>AND('Aquatic Inverts'!C27,"AAAAAHpf5m4=")</f>
        <v>#VALUE!</v>
      </c>
      <c r="DH7" t="e">
        <f>AND('Aquatic Inverts'!D27,"AAAAAHpf5m8=")</f>
        <v>#VALUE!</v>
      </c>
      <c r="DI7" t="e">
        <f>AND('Aquatic Inverts'!E27,"AAAAAHpf5nA=")</f>
        <v>#VALUE!</v>
      </c>
      <c r="DJ7" t="e">
        <f>AND('Aquatic Inverts'!F27,"AAAAAHpf5nE=")</f>
        <v>#VALUE!</v>
      </c>
      <c r="DK7" t="e">
        <f>AND('Aquatic Inverts'!G27,"AAAAAHpf5nI=")</f>
        <v>#VALUE!</v>
      </c>
      <c r="DL7" t="e">
        <f>AND('Aquatic Inverts'!H27,"AAAAAHpf5nM=")</f>
        <v>#VALUE!</v>
      </c>
      <c r="DM7" t="e">
        <f>AND('Aquatic Inverts'!I27,"AAAAAHpf5nQ=")</f>
        <v>#VALUE!</v>
      </c>
      <c r="DN7" t="e">
        <f>AND('Aquatic Inverts'!J27,"AAAAAHpf5nU=")</f>
        <v>#VALUE!</v>
      </c>
      <c r="DO7" t="e">
        <f>AND('Aquatic Inverts'!K27,"AAAAAHpf5nY=")</f>
        <v>#VALUE!</v>
      </c>
      <c r="DP7" t="e">
        <f>AND('Aquatic Inverts'!L27,"AAAAAHpf5nc=")</f>
        <v>#VALUE!</v>
      </c>
      <c r="DQ7" t="e">
        <f>AND('Aquatic Inverts'!M27,"AAAAAHpf5ng=")</f>
        <v>#VALUE!</v>
      </c>
      <c r="DR7" t="e">
        <f>AND('Aquatic Inverts'!N27,"AAAAAHpf5nk=")</f>
        <v>#VALUE!</v>
      </c>
      <c r="DS7" t="e">
        <f>AND('Aquatic Inverts'!O27,"AAAAAHpf5no=")</f>
        <v>#VALUE!</v>
      </c>
      <c r="DT7" t="e">
        <f>AND('Aquatic Inverts'!P27,"AAAAAHpf5ns=")</f>
        <v>#VALUE!</v>
      </c>
      <c r="DU7" t="e">
        <f>AND('Aquatic Inverts'!Q27,"AAAAAHpf5nw=")</f>
        <v>#VALUE!</v>
      </c>
      <c r="DV7" t="e">
        <f>AND('Aquatic Inverts'!R27,"AAAAAHpf5n0=")</f>
        <v>#VALUE!</v>
      </c>
      <c r="DW7" t="e">
        <f>AND('Aquatic Inverts'!S27,"AAAAAHpf5n4=")</f>
        <v>#VALUE!</v>
      </c>
      <c r="DX7" t="e">
        <f>AND('Aquatic Inverts'!T27,"AAAAAHpf5n8=")</f>
        <v>#VALUE!</v>
      </c>
      <c r="DY7" t="e">
        <f>AND('Aquatic Inverts'!U27,"AAAAAHpf5oA=")</f>
        <v>#VALUE!</v>
      </c>
      <c r="DZ7" t="e">
        <f>AND('Aquatic Inverts'!V27,"AAAAAHpf5oE=")</f>
        <v>#VALUE!</v>
      </c>
      <c r="EA7">
        <f>IF('Aquatic Inverts'!28:28,"AAAAAHpf5oI=",0)</f>
        <v>0</v>
      </c>
      <c r="EB7" t="e">
        <f>AND('Aquatic Inverts'!A28,"AAAAAHpf5oM=")</f>
        <v>#VALUE!</v>
      </c>
      <c r="EC7" t="e">
        <f>AND('Aquatic Inverts'!B28,"AAAAAHpf5oQ=")</f>
        <v>#VALUE!</v>
      </c>
      <c r="ED7" t="e">
        <f>AND('Aquatic Inverts'!C28,"AAAAAHpf5oU=")</f>
        <v>#VALUE!</v>
      </c>
      <c r="EE7" t="e">
        <f>AND('Aquatic Inverts'!D28,"AAAAAHpf5oY=")</f>
        <v>#VALUE!</v>
      </c>
      <c r="EF7" t="e">
        <f>AND('Aquatic Inverts'!E28,"AAAAAHpf5oc=")</f>
        <v>#VALUE!</v>
      </c>
      <c r="EG7" t="e">
        <f>AND('Aquatic Inverts'!F28,"AAAAAHpf5og=")</f>
        <v>#VALUE!</v>
      </c>
      <c r="EH7" t="e">
        <f>AND('Aquatic Inverts'!G28,"AAAAAHpf5ok=")</f>
        <v>#VALUE!</v>
      </c>
      <c r="EI7" t="e">
        <f>AND('Aquatic Inverts'!H28,"AAAAAHpf5oo=")</f>
        <v>#VALUE!</v>
      </c>
      <c r="EJ7" t="e">
        <f>AND('Aquatic Inverts'!I28,"AAAAAHpf5os=")</f>
        <v>#VALUE!</v>
      </c>
      <c r="EK7" t="e">
        <f>AND('Aquatic Inverts'!J28,"AAAAAHpf5ow=")</f>
        <v>#VALUE!</v>
      </c>
      <c r="EL7" t="e">
        <f>AND('Aquatic Inverts'!K28,"AAAAAHpf5o0=")</f>
        <v>#VALUE!</v>
      </c>
      <c r="EM7" t="e">
        <f>AND('Aquatic Inverts'!L28,"AAAAAHpf5o4=")</f>
        <v>#VALUE!</v>
      </c>
      <c r="EN7" t="e">
        <f>AND('Aquatic Inverts'!M28,"AAAAAHpf5o8=")</f>
        <v>#VALUE!</v>
      </c>
      <c r="EO7" t="e">
        <f>AND('Aquatic Inverts'!N28,"AAAAAHpf5pA=")</f>
        <v>#VALUE!</v>
      </c>
      <c r="EP7" t="e">
        <f>AND('Aquatic Inverts'!O28,"AAAAAHpf5pE=")</f>
        <v>#VALUE!</v>
      </c>
      <c r="EQ7" t="e">
        <f>AND('Aquatic Inverts'!P28,"AAAAAHpf5pI=")</f>
        <v>#VALUE!</v>
      </c>
      <c r="ER7" t="e">
        <f>AND('Aquatic Inverts'!Q28,"AAAAAHpf5pM=")</f>
        <v>#VALUE!</v>
      </c>
      <c r="ES7" t="e">
        <f>AND('Aquatic Inverts'!R28,"AAAAAHpf5pQ=")</f>
        <v>#VALUE!</v>
      </c>
      <c r="ET7" t="e">
        <f>AND('Aquatic Inverts'!S28,"AAAAAHpf5pU=")</f>
        <v>#VALUE!</v>
      </c>
      <c r="EU7" t="e">
        <f>AND('Aquatic Inverts'!T28,"AAAAAHpf5pY=")</f>
        <v>#VALUE!</v>
      </c>
      <c r="EV7" t="e">
        <f>AND('Aquatic Inverts'!U28,"AAAAAHpf5pc=")</f>
        <v>#VALUE!</v>
      </c>
      <c r="EW7" t="e">
        <f>AND('Aquatic Inverts'!V28,"AAAAAHpf5pg=")</f>
        <v>#VALUE!</v>
      </c>
      <c r="EX7">
        <f>IF('Aquatic Inverts'!29:29,"AAAAAHpf5pk=",0)</f>
        <v>0</v>
      </c>
      <c r="EY7" t="e">
        <f>AND('Aquatic Inverts'!A29,"AAAAAHpf5po=")</f>
        <v>#VALUE!</v>
      </c>
      <c r="EZ7" t="e">
        <f>AND('Aquatic Inverts'!B29,"AAAAAHpf5ps=")</f>
        <v>#VALUE!</v>
      </c>
      <c r="FA7" t="e">
        <f>AND('Aquatic Inverts'!C29,"AAAAAHpf5pw=")</f>
        <v>#VALUE!</v>
      </c>
      <c r="FB7" t="e">
        <f>AND('Aquatic Inverts'!D29,"AAAAAHpf5p0=")</f>
        <v>#VALUE!</v>
      </c>
      <c r="FC7" t="e">
        <f>AND('Aquatic Inverts'!E29,"AAAAAHpf5p4=")</f>
        <v>#VALUE!</v>
      </c>
      <c r="FD7" t="e">
        <f>AND('Aquatic Inverts'!F29,"AAAAAHpf5p8=")</f>
        <v>#VALUE!</v>
      </c>
      <c r="FE7" t="e">
        <f>AND('Aquatic Inverts'!G29,"AAAAAHpf5qA=")</f>
        <v>#VALUE!</v>
      </c>
      <c r="FF7" t="e">
        <f>AND('Aquatic Inverts'!H29,"AAAAAHpf5qE=")</f>
        <v>#VALUE!</v>
      </c>
      <c r="FG7" t="e">
        <f>AND('Aquatic Inverts'!I29,"AAAAAHpf5qI=")</f>
        <v>#VALUE!</v>
      </c>
      <c r="FH7" t="e">
        <f>AND('Aquatic Inverts'!J29,"AAAAAHpf5qM=")</f>
        <v>#VALUE!</v>
      </c>
      <c r="FI7" t="e">
        <f>AND('Aquatic Inverts'!K29,"AAAAAHpf5qQ=")</f>
        <v>#VALUE!</v>
      </c>
      <c r="FJ7" t="e">
        <f>AND('Aquatic Inverts'!L29,"AAAAAHpf5qU=")</f>
        <v>#VALUE!</v>
      </c>
      <c r="FK7" t="e">
        <f>AND('Aquatic Inverts'!M29,"AAAAAHpf5qY=")</f>
        <v>#VALUE!</v>
      </c>
      <c r="FL7" t="e">
        <f>AND('Aquatic Inverts'!N29,"AAAAAHpf5qc=")</f>
        <v>#VALUE!</v>
      </c>
      <c r="FM7" t="e">
        <f>AND('Aquatic Inverts'!O29,"AAAAAHpf5qg=")</f>
        <v>#VALUE!</v>
      </c>
      <c r="FN7" t="e">
        <f>AND('Aquatic Inverts'!P29,"AAAAAHpf5qk=")</f>
        <v>#VALUE!</v>
      </c>
      <c r="FO7" t="e">
        <f>AND('Aquatic Inverts'!Q29,"AAAAAHpf5qo=")</f>
        <v>#VALUE!</v>
      </c>
      <c r="FP7" t="e">
        <f>AND('Aquatic Inverts'!R29,"AAAAAHpf5qs=")</f>
        <v>#VALUE!</v>
      </c>
      <c r="FQ7" t="e">
        <f>AND('Aquatic Inverts'!S29,"AAAAAHpf5qw=")</f>
        <v>#VALUE!</v>
      </c>
      <c r="FR7" t="e">
        <f>AND('Aquatic Inverts'!T29,"AAAAAHpf5q0=")</f>
        <v>#VALUE!</v>
      </c>
      <c r="FS7" t="e">
        <f>AND('Aquatic Inverts'!U29,"AAAAAHpf5q4=")</f>
        <v>#VALUE!</v>
      </c>
      <c r="FT7" t="e">
        <f>AND('Aquatic Inverts'!V29,"AAAAAHpf5q8=")</f>
        <v>#VALUE!</v>
      </c>
      <c r="FU7">
        <f>IF('Aquatic Inverts'!30:30,"AAAAAHpf5rA=",0)</f>
        <v>0</v>
      </c>
      <c r="FV7">
        <f>IF('Aquatic Inverts'!31:31,"AAAAAHpf5rE=",0)</f>
        <v>0</v>
      </c>
      <c r="FW7" t="str">
        <f>IF('Aquatic Inverts'!A:A,"AAAAAHpf5rI=",0)</f>
        <v>AAAAAHpf5rI=</v>
      </c>
      <c r="FX7" t="e">
        <f>IF('Aquatic Inverts'!B:B,"AAAAAHpf5rM=",0)</f>
        <v>#VALUE!</v>
      </c>
      <c r="FY7">
        <f>IF('Aquatic Inverts'!C:C,"AAAAAHpf5rQ=",0)</f>
        <v>0</v>
      </c>
      <c r="FZ7">
        <f>IF('Aquatic Inverts'!D:D,"AAAAAHpf5rU=",0)</f>
        <v>0</v>
      </c>
      <c r="GA7" t="e">
        <f>IF('Aquatic Inverts'!E:E,"AAAAAHpf5rY=",0)</f>
        <v>#VALUE!</v>
      </c>
      <c r="GB7" t="e">
        <f>IF('Aquatic Inverts'!F:F,"AAAAAHpf5rc=",0)</f>
        <v>#VALUE!</v>
      </c>
      <c r="GC7">
        <f>IF('Aquatic Inverts'!G:G,"AAAAAHpf5rg=",0)</f>
        <v>0</v>
      </c>
      <c r="GD7">
        <f>IF('Aquatic Inverts'!H:H,"AAAAAHpf5rk=",0)</f>
        <v>0</v>
      </c>
      <c r="GE7">
        <f>IF('Aquatic Inverts'!I:I,"AAAAAHpf5ro=",0)</f>
        <v>0</v>
      </c>
      <c r="GF7">
        <f>IF('Aquatic Inverts'!J:J,"AAAAAHpf5rs=",0)</f>
        <v>0</v>
      </c>
      <c r="GG7">
        <f>IF('Aquatic Inverts'!K:K,"AAAAAHpf5rw=",0)</f>
        <v>0</v>
      </c>
      <c r="GH7">
        <f>IF('Aquatic Inverts'!L:L,"AAAAAHpf5r0=",0)</f>
        <v>0</v>
      </c>
      <c r="GI7">
        <f>IF('Aquatic Inverts'!M:M,"AAAAAHpf5r4=",0)</f>
        <v>0</v>
      </c>
      <c r="GJ7">
        <f>IF('Aquatic Inverts'!N:N,"AAAAAHpf5r8=",0)</f>
        <v>0</v>
      </c>
      <c r="GK7">
        <f>IF('Aquatic Inverts'!O:O,"AAAAAHpf5sA=",0)</f>
        <v>0</v>
      </c>
      <c r="GL7">
        <f>IF('Aquatic Inverts'!P:P,"AAAAAHpf5sE=",0)</f>
        <v>0</v>
      </c>
      <c r="GM7">
        <f>IF('Aquatic Inverts'!Q:Q,"AAAAAHpf5sI=",0)</f>
        <v>0</v>
      </c>
      <c r="GN7">
        <f>IF('Aquatic Inverts'!R:R,"AAAAAHpf5sM=",0)</f>
        <v>0</v>
      </c>
      <c r="GO7">
        <f>IF('Aquatic Inverts'!S:S,"AAAAAHpf5sQ=",0)</f>
        <v>0</v>
      </c>
      <c r="GP7">
        <f>IF('Aquatic Inverts'!T:T,"AAAAAHpf5sU=",0)</f>
        <v>0</v>
      </c>
      <c r="GQ7">
        <f>IF('Aquatic Inverts'!U:U,"AAAAAHpf5sY=",0)</f>
        <v>0</v>
      </c>
      <c r="GR7">
        <f>IF('Aquatic Inverts'!V:V,"AAAAAHpf5sc=",0)</f>
        <v>0</v>
      </c>
      <c r="GS7">
        <f>IF('Fungi &amp; Lichen'!1:1,"AAAAAHpf5sg=",0)</f>
        <v>0</v>
      </c>
      <c r="GT7" t="e">
        <f>AND('Fungi &amp; Lichen'!A1,"AAAAAHpf5sk=")</f>
        <v>#VALUE!</v>
      </c>
      <c r="GU7" t="e">
        <f>AND('Fungi &amp; Lichen'!B1,"AAAAAHpf5so=")</f>
        <v>#VALUE!</v>
      </c>
      <c r="GV7" t="e">
        <f>AND('Fungi &amp; Lichen'!C1,"AAAAAHpf5ss=")</f>
        <v>#VALUE!</v>
      </c>
      <c r="GW7" t="e">
        <f>AND('Fungi &amp; Lichen'!D1,"AAAAAHpf5sw=")</f>
        <v>#VALUE!</v>
      </c>
      <c r="GX7" t="e">
        <f>AND('Fungi &amp; Lichen'!E1,"AAAAAHpf5s0=")</f>
        <v>#VALUE!</v>
      </c>
      <c r="GY7" t="e">
        <f>AND('Fungi &amp; Lichen'!F1,"AAAAAHpf5s4=")</f>
        <v>#VALUE!</v>
      </c>
      <c r="GZ7" t="e">
        <f>AND('Fungi &amp; Lichen'!G1,"AAAAAHpf5s8=")</f>
        <v>#VALUE!</v>
      </c>
      <c r="HA7" t="e">
        <f>AND('Fungi &amp; Lichen'!H1,"AAAAAHpf5tA=")</f>
        <v>#VALUE!</v>
      </c>
      <c r="HB7" t="e">
        <f>AND('Fungi &amp; Lichen'!I1,"AAAAAHpf5tE=")</f>
        <v>#VALUE!</v>
      </c>
      <c r="HC7" t="e">
        <f>AND('Fungi &amp; Lichen'!J1,"AAAAAHpf5tI=")</f>
        <v>#VALUE!</v>
      </c>
      <c r="HD7" t="e">
        <f>AND('Fungi &amp; Lichen'!K1,"AAAAAHpf5tM=")</f>
        <v>#VALUE!</v>
      </c>
      <c r="HE7" t="e">
        <f>AND('Fungi &amp; Lichen'!L1,"AAAAAHpf5tQ=")</f>
        <v>#VALUE!</v>
      </c>
      <c r="HF7" t="e">
        <f>AND('Fungi &amp; Lichen'!M1,"AAAAAHpf5tU=")</f>
        <v>#VALUE!</v>
      </c>
      <c r="HG7" t="e">
        <f>AND('Fungi &amp; Lichen'!N1,"AAAAAHpf5tY=")</f>
        <v>#VALUE!</v>
      </c>
      <c r="HH7" t="e">
        <f>AND('Fungi &amp; Lichen'!O1,"AAAAAHpf5tc=")</f>
        <v>#VALUE!</v>
      </c>
      <c r="HI7" t="e">
        <f>AND('Fungi &amp; Lichen'!P1,"AAAAAHpf5tg=")</f>
        <v>#VALUE!</v>
      </c>
      <c r="HJ7" t="e">
        <f>AND('Fungi &amp; Lichen'!Q1,"AAAAAHpf5tk=")</f>
        <v>#VALUE!</v>
      </c>
      <c r="HK7" t="e">
        <f>AND('Fungi &amp; Lichen'!R1,"AAAAAHpf5to=")</f>
        <v>#VALUE!</v>
      </c>
      <c r="HL7" t="e">
        <f>AND('Fungi &amp; Lichen'!S1,"AAAAAHpf5ts=")</f>
        <v>#VALUE!</v>
      </c>
      <c r="HM7" t="e">
        <f>AND('Fungi &amp; Lichen'!T1,"AAAAAHpf5tw=")</f>
        <v>#VALUE!</v>
      </c>
      <c r="HN7" t="e">
        <f>AND('Fungi &amp; Lichen'!U1,"AAAAAHpf5t0=")</f>
        <v>#VALUE!</v>
      </c>
      <c r="HO7" t="e">
        <f>AND('Fungi &amp; Lichen'!V1,"AAAAAHpf5t4=")</f>
        <v>#VALUE!</v>
      </c>
      <c r="HP7">
        <f>IF('Fungi &amp; Lichen'!2:2,"AAAAAHpf5t8=",0)</f>
        <v>0</v>
      </c>
      <c r="HQ7" t="e">
        <f>AND('Fungi &amp; Lichen'!A2,"AAAAAHpf5uA=")</f>
        <v>#VALUE!</v>
      </c>
      <c r="HR7" t="e">
        <f>AND('Fungi &amp; Lichen'!B2,"AAAAAHpf5uE=")</f>
        <v>#VALUE!</v>
      </c>
      <c r="HS7" t="e">
        <f>AND('Fungi &amp; Lichen'!C2,"AAAAAHpf5uI=")</f>
        <v>#VALUE!</v>
      </c>
      <c r="HT7" t="e">
        <f>AND('Fungi &amp; Lichen'!D2,"AAAAAHpf5uM=")</f>
        <v>#VALUE!</v>
      </c>
      <c r="HU7" t="e">
        <f>AND('Fungi &amp; Lichen'!E2,"AAAAAHpf5uQ=")</f>
        <v>#VALUE!</v>
      </c>
      <c r="HV7" t="e">
        <f>AND('Fungi &amp; Lichen'!F2,"AAAAAHpf5uU=")</f>
        <v>#VALUE!</v>
      </c>
      <c r="HW7" t="e">
        <f>AND('Fungi &amp; Lichen'!G2,"AAAAAHpf5uY=")</f>
        <v>#VALUE!</v>
      </c>
      <c r="HX7" t="e">
        <f>AND('Fungi &amp; Lichen'!H2,"AAAAAHpf5uc=")</f>
        <v>#VALUE!</v>
      </c>
      <c r="HY7" t="e">
        <f>AND('Fungi &amp; Lichen'!I2,"AAAAAHpf5ug=")</f>
        <v>#VALUE!</v>
      </c>
      <c r="HZ7" t="e">
        <f>AND('Fungi &amp; Lichen'!J2,"AAAAAHpf5uk=")</f>
        <v>#VALUE!</v>
      </c>
      <c r="IA7" t="e">
        <f>AND('Fungi &amp; Lichen'!K2,"AAAAAHpf5uo=")</f>
        <v>#VALUE!</v>
      </c>
      <c r="IB7" t="e">
        <f>AND('Fungi &amp; Lichen'!L2,"AAAAAHpf5us=")</f>
        <v>#VALUE!</v>
      </c>
      <c r="IC7" t="e">
        <f>AND('Fungi &amp; Lichen'!M2,"AAAAAHpf5uw=")</f>
        <v>#VALUE!</v>
      </c>
      <c r="ID7" t="e">
        <f>AND('Fungi &amp; Lichen'!N2,"AAAAAHpf5u0=")</f>
        <v>#VALUE!</v>
      </c>
      <c r="IE7" t="e">
        <f>AND('Fungi &amp; Lichen'!O2,"AAAAAHpf5u4=")</f>
        <v>#VALUE!</v>
      </c>
      <c r="IF7" t="e">
        <f>AND('Fungi &amp; Lichen'!P2,"AAAAAHpf5u8=")</f>
        <v>#VALUE!</v>
      </c>
      <c r="IG7" t="e">
        <f>AND('Fungi &amp; Lichen'!Q2,"AAAAAHpf5vA=")</f>
        <v>#VALUE!</v>
      </c>
      <c r="IH7" t="e">
        <f>AND('Fungi &amp; Lichen'!R2,"AAAAAHpf5vE=")</f>
        <v>#VALUE!</v>
      </c>
      <c r="II7" t="e">
        <f>AND('Fungi &amp; Lichen'!S2,"AAAAAHpf5vI=")</f>
        <v>#VALUE!</v>
      </c>
      <c r="IJ7" t="e">
        <f>AND('Fungi &amp; Lichen'!T2,"AAAAAHpf5vM=")</f>
        <v>#VALUE!</v>
      </c>
      <c r="IK7" t="e">
        <f>AND('Fungi &amp; Lichen'!U2,"AAAAAHpf5vQ=")</f>
        <v>#VALUE!</v>
      </c>
      <c r="IL7" t="e">
        <f>AND('Fungi &amp; Lichen'!V2,"AAAAAHpf5vU=")</f>
        <v>#VALUE!</v>
      </c>
      <c r="IM7">
        <f>IF('Fungi &amp; Lichen'!3:3,"AAAAAHpf5vY=",0)</f>
        <v>0</v>
      </c>
      <c r="IN7" t="e">
        <f>AND('Fungi &amp; Lichen'!A3,"AAAAAHpf5vc=")</f>
        <v>#VALUE!</v>
      </c>
      <c r="IO7" t="e">
        <f>AND('Fungi &amp; Lichen'!B3,"AAAAAHpf5vg=")</f>
        <v>#VALUE!</v>
      </c>
      <c r="IP7" t="e">
        <f>AND('Fungi &amp; Lichen'!C3,"AAAAAHpf5vk=")</f>
        <v>#VALUE!</v>
      </c>
      <c r="IQ7" t="e">
        <f>AND('Fungi &amp; Lichen'!D3,"AAAAAHpf5vo=")</f>
        <v>#VALUE!</v>
      </c>
      <c r="IR7" t="e">
        <f>AND('Fungi &amp; Lichen'!E3,"AAAAAHpf5vs=")</f>
        <v>#VALUE!</v>
      </c>
      <c r="IS7" t="e">
        <f>AND('Fungi &amp; Lichen'!F3,"AAAAAHpf5vw=")</f>
        <v>#VALUE!</v>
      </c>
      <c r="IT7" t="e">
        <f>AND('Fungi &amp; Lichen'!G3,"AAAAAHpf5v0=")</f>
        <v>#VALUE!</v>
      </c>
      <c r="IU7" t="e">
        <f>AND('Fungi &amp; Lichen'!H3,"AAAAAHpf5v4=")</f>
        <v>#VALUE!</v>
      </c>
      <c r="IV7" t="e">
        <f>AND('Fungi &amp; Lichen'!I3,"AAAAAHpf5v8=")</f>
        <v>#VALUE!</v>
      </c>
    </row>
    <row r="8" spans="1:256">
      <c r="A8" t="e">
        <f>AND('Fungi &amp; Lichen'!J3,"AAAAAE///wA=")</f>
        <v>#VALUE!</v>
      </c>
      <c r="B8" t="e">
        <f>AND('Fungi &amp; Lichen'!K3,"AAAAAE///wE=")</f>
        <v>#VALUE!</v>
      </c>
      <c r="C8" t="e">
        <f>AND('Fungi &amp; Lichen'!L3,"AAAAAE///wI=")</f>
        <v>#VALUE!</v>
      </c>
      <c r="D8" t="e">
        <f>AND('Fungi &amp; Lichen'!M3,"AAAAAE///wM=")</f>
        <v>#VALUE!</v>
      </c>
      <c r="E8" t="e">
        <f>AND('Fungi &amp; Lichen'!N3,"AAAAAE///wQ=")</f>
        <v>#VALUE!</v>
      </c>
      <c r="F8" t="e">
        <f>AND('Fungi &amp; Lichen'!O3,"AAAAAE///wU=")</f>
        <v>#VALUE!</v>
      </c>
      <c r="G8" t="e">
        <f>AND('Fungi &amp; Lichen'!P3,"AAAAAE///wY=")</f>
        <v>#VALUE!</v>
      </c>
      <c r="H8" t="e">
        <f>AND('Fungi &amp; Lichen'!Q3,"AAAAAE///wc=")</f>
        <v>#VALUE!</v>
      </c>
      <c r="I8" t="e">
        <f>AND('Fungi &amp; Lichen'!R3,"AAAAAE///wg=")</f>
        <v>#VALUE!</v>
      </c>
      <c r="J8" t="e">
        <f>AND('Fungi &amp; Lichen'!S3,"AAAAAE///wk=")</f>
        <v>#VALUE!</v>
      </c>
      <c r="K8" t="e">
        <f>AND('Fungi &amp; Lichen'!T3,"AAAAAE///wo=")</f>
        <v>#VALUE!</v>
      </c>
      <c r="L8" t="e">
        <f>AND('Fungi &amp; Lichen'!U3,"AAAAAE///ws=")</f>
        <v>#VALUE!</v>
      </c>
      <c r="M8" t="e">
        <f>AND('Fungi &amp; Lichen'!V3,"AAAAAE///ww=")</f>
        <v>#VALUE!</v>
      </c>
      <c r="N8" t="e">
        <f>IF('Fungi &amp; Lichen'!4:4,"AAAAAE///w0=",0)</f>
        <v>#VALUE!</v>
      </c>
      <c r="O8" t="e">
        <f>AND('Fungi &amp; Lichen'!A4,"AAAAAE///w4=")</f>
        <v>#VALUE!</v>
      </c>
      <c r="P8" t="e">
        <f>AND('Fungi &amp; Lichen'!B4,"AAAAAE///w8=")</f>
        <v>#VALUE!</v>
      </c>
      <c r="Q8" t="e">
        <f>AND('Fungi &amp; Lichen'!C4,"AAAAAE///xA=")</f>
        <v>#VALUE!</v>
      </c>
      <c r="R8" t="e">
        <f>AND('Fungi &amp; Lichen'!D4,"AAAAAE///xE=")</f>
        <v>#VALUE!</v>
      </c>
      <c r="S8" t="e">
        <f>AND('Fungi &amp; Lichen'!E4,"AAAAAE///xI=")</f>
        <v>#VALUE!</v>
      </c>
      <c r="T8" t="e">
        <f>AND('Fungi &amp; Lichen'!F4,"AAAAAE///xM=")</f>
        <v>#VALUE!</v>
      </c>
      <c r="U8" t="e">
        <f>AND('Fungi &amp; Lichen'!G4,"AAAAAE///xQ=")</f>
        <v>#VALUE!</v>
      </c>
      <c r="V8" t="e">
        <f>AND('Fungi &amp; Lichen'!H4,"AAAAAE///xU=")</f>
        <v>#VALUE!</v>
      </c>
      <c r="W8" t="e">
        <f>AND('Fungi &amp; Lichen'!I4,"AAAAAE///xY=")</f>
        <v>#VALUE!</v>
      </c>
      <c r="X8" t="e">
        <f>AND('Fungi &amp; Lichen'!J4,"AAAAAE///xc=")</f>
        <v>#VALUE!</v>
      </c>
      <c r="Y8" t="e">
        <f>AND('Fungi &amp; Lichen'!K4,"AAAAAE///xg=")</f>
        <v>#VALUE!</v>
      </c>
      <c r="Z8" t="e">
        <f>AND('Fungi &amp; Lichen'!L4,"AAAAAE///xk=")</f>
        <v>#VALUE!</v>
      </c>
      <c r="AA8" t="e">
        <f>AND('Fungi &amp; Lichen'!M4,"AAAAAE///xo=")</f>
        <v>#VALUE!</v>
      </c>
      <c r="AB8" t="e">
        <f>AND('Fungi &amp; Lichen'!N4,"AAAAAE///xs=")</f>
        <v>#VALUE!</v>
      </c>
      <c r="AC8" t="e">
        <f>AND('Fungi &amp; Lichen'!O4,"AAAAAE///xw=")</f>
        <v>#VALUE!</v>
      </c>
      <c r="AD8" t="e">
        <f>AND('Fungi &amp; Lichen'!P4,"AAAAAE///x0=")</f>
        <v>#VALUE!</v>
      </c>
      <c r="AE8" t="e">
        <f>AND('Fungi &amp; Lichen'!Q4,"AAAAAE///x4=")</f>
        <v>#VALUE!</v>
      </c>
      <c r="AF8" t="e">
        <f>AND('Fungi &amp; Lichen'!R4,"AAAAAE///x8=")</f>
        <v>#VALUE!</v>
      </c>
      <c r="AG8" t="e">
        <f>AND('Fungi &amp; Lichen'!S4,"AAAAAE///yA=")</f>
        <v>#VALUE!</v>
      </c>
      <c r="AH8" t="e">
        <f>AND('Fungi &amp; Lichen'!T4,"AAAAAE///yE=")</f>
        <v>#VALUE!</v>
      </c>
      <c r="AI8" t="e">
        <f>AND('Fungi &amp; Lichen'!U4,"AAAAAE///yI=")</f>
        <v>#VALUE!</v>
      </c>
      <c r="AJ8" t="e">
        <f>AND('Fungi &amp; Lichen'!V4,"AAAAAE///yM=")</f>
        <v>#VALUE!</v>
      </c>
      <c r="AK8">
        <f>IF('Fungi &amp; Lichen'!5:5,"AAAAAE///yQ=",0)</f>
        <v>0</v>
      </c>
      <c r="AL8" t="e">
        <f>AND('Fungi &amp; Lichen'!A5,"AAAAAE///yU=")</f>
        <v>#VALUE!</v>
      </c>
      <c r="AM8" t="e">
        <f>AND('Fungi &amp; Lichen'!B5,"AAAAAE///yY=")</f>
        <v>#VALUE!</v>
      </c>
      <c r="AN8" t="e">
        <f>AND('Fungi &amp; Lichen'!C5,"AAAAAE///yc=")</f>
        <v>#VALUE!</v>
      </c>
      <c r="AO8" t="e">
        <f>AND('Fungi &amp; Lichen'!D5,"AAAAAE///yg=")</f>
        <v>#VALUE!</v>
      </c>
      <c r="AP8" t="e">
        <f>AND('Fungi &amp; Lichen'!E5,"AAAAAE///yk=")</f>
        <v>#VALUE!</v>
      </c>
      <c r="AQ8" t="e">
        <f>AND('Fungi &amp; Lichen'!F5,"AAAAAE///yo=")</f>
        <v>#VALUE!</v>
      </c>
      <c r="AR8" t="e">
        <f>AND('Fungi &amp; Lichen'!G5,"AAAAAE///ys=")</f>
        <v>#VALUE!</v>
      </c>
      <c r="AS8" t="e">
        <f>AND('Fungi &amp; Lichen'!H5,"AAAAAE///yw=")</f>
        <v>#VALUE!</v>
      </c>
      <c r="AT8" t="e">
        <f>AND('Fungi &amp; Lichen'!I5,"AAAAAE///y0=")</f>
        <v>#VALUE!</v>
      </c>
      <c r="AU8" t="e">
        <f>AND('Fungi &amp; Lichen'!J5,"AAAAAE///y4=")</f>
        <v>#VALUE!</v>
      </c>
      <c r="AV8" t="e">
        <f>AND('Fungi &amp; Lichen'!K5,"AAAAAE///y8=")</f>
        <v>#VALUE!</v>
      </c>
      <c r="AW8" t="e">
        <f>AND('Fungi &amp; Lichen'!L5,"AAAAAE///zA=")</f>
        <v>#VALUE!</v>
      </c>
      <c r="AX8" t="e">
        <f>AND('Fungi &amp; Lichen'!M5,"AAAAAE///zE=")</f>
        <v>#VALUE!</v>
      </c>
      <c r="AY8" t="e">
        <f>AND('Fungi &amp; Lichen'!N5,"AAAAAE///zI=")</f>
        <v>#VALUE!</v>
      </c>
      <c r="AZ8" t="e">
        <f>AND('Fungi &amp; Lichen'!O5,"AAAAAE///zM=")</f>
        <v>#VALUE!</v>
      </c>
      <c r="BA8" t="e">
        <f>AND('Fungi &amp; Lichen'!P5,"AAAAAE///zQ=")</f>
        <v>#VALUE!</v>
      </c>
      <c r="BB8" t="e">
        <f>AND('Fungi &amp; Lichen'!Q5,"AAAAAE///zU=")</f>
        <v>#VALUE!</v>
      </c>
      <c r="BC8" t="e">
        <f>AND('Fungi &amp; Lichen'!R5,"AAAAAE///zY=")</f>
        <v>#VALUE!</v>
      </c>
      <c r="BD8" t="e">
        <f>AND('Fungi &amp; Lichen'!S5,"AAAAAE///zc=")</f>
        <v>#VALUE!</v>
      </c>
      <c r="BE8" t="e">
        <f>AND('Fungi &amp; Lichen'!T5,"AAAAAE///zg=")</f>
        <v>#VALUE!</v>
      </c>
      <c r="BF8" t="e">
        <f>AND('Fungi &amp; Lichen'!U5,"AAAAAE///zk=")</f>
        <v>#VALUE!</v>
      </c>
      <c r="BG8" t="e">
        <f>AND('Fungi &amp; Lichen'!V5,"AAAAAE///zo=")</f>
        <v>#VALUE!</v>
      </c>
      <c r="BH8">
        <f>IF('Fungi &amp; Lichen'!6:6,"AAAAAE///zs=",0)</f>
        <v>0</v>
      </c>
      <c r="BI8" t="e">
        <f>AND('Fungi &amp; Lichen'!A6,"AAAAAE///zw=")</f>
        <v>#VALUE!</v>
      </c>
      <c r="BJ8" t="e">
        <f>AND('Fungi &amp; Lichen'!B6,"AAAAAE///z0=")</f>
        <v>#VALUE!</v>
      </c>
      <c r="BK8" t="e">
        <f>AND('Fungi &amp; Lichen'!C6,"AAAAAE///z4=")</f>
        <v>#VALUE!</v>
      </c>
      <c r="BL8" t="e">
        <f>AND('Fungi &amp; Lichen'!D6,"AAAAAE///z8=")</f>
        <v>#VALUE!</v>
      </c>
      <c r="BM8" t="e">
        <f>AND('Fungi &amp; Lichen'!E6,"AAAAAE///0A=")</f>
        <v>#VALUE!</v>
      </c>
      <c r="BN8" t="e">
        <f>AND('Fungi &amp; Lichen'!F6,"AAAAAE///0E=")</f>
        <v>#VALUE!</v>
      </c>
      <c r="BO8" t="e">
        <f>AND('Fungi &amp; Lichen'!G6,"AAAAAE///0I=")</f>
        <v>#VALUE!</v>
      </c>
      <c r="BP8" t="e">
        <f>AND('Fungi &amp; Lichen'!H6,"AAAAAE///0M=")</f>
        <v>#VALUE!</v>
      </c>
      <c r="BQ8" t="e">
        <f>AND('Fungi &amp; Lichen'!I6,"AAAAAE///0Q=")</f>
        <v>#VALUE!</v>
      </c>
      <c r="BR8" t="e">
        <f>AND('Fungi &amp; Lichen'!J6,"AAAAAE///0U=")</f>
        <v>#VALUE!</v>
      </c>
      <c r="BS8" t="e">
        <f>AND('Fungi &amp; Lichen'!K6,"AAAAAE///0Y=")</f>
        <v>#VALUE!</v>
      </c>
      <c r="BT8" t="e">
        <f>AND('Fungi &amp; Lichen'!L6,"AAAAAE///0c=")</f>
        <v>#VALUE!</v>
      </c>
      <c r="BU8" t="e">
        <f>AND('Fungi &amp; Lichen'!M6,"AAAAAE///0g=")</f>
        <v>#VALUE!</v>
      </c>
      <c r="BV8" t="e">
        <f>AND('Fungi &amp; Lichen'!N6,"AAAAAE///0k=")</f>
        <v>#VALUE!</v>
      </c>
      <c r="BW8" t="e">
        <f>AND('Fungi &amp; Lichen'!O6,"AAAAAE///0o=")</f>
        <v>#VALUE!</v>
      </c>
      <c r="BX8" t="e">
        <f>AND('Fungi &amp; Lichen'!P6,"AAAAAE///0s=")</f>
        <v>#VALUE!</v>
      </c>
      <c r="BY8" t="e">
        <f>AND('Fungi &amp; Lichen'!Q6,"AAAAAE///0w=")</f>
        <v>#VALUE!</v>
      </c>
      <c r="BZ8" t="e">
        <f>AND('Fungi &amp; Lichen'!R6,"AAAAAE///00=")</f>
        <v>#VALUE!</v>
      </c>
      <c r="CA8" t="e">
        <f>AND('Fungi &amp; Lichen'!S6,"AAAAAE///04=")</f>
        <v>#VALUE!</v>
      </c>
      <c r="CB8" t="e">
        <f>AND('Fungi &amp; Lichen'!T6,"AAAAAE///08=")</f>
        <v>#VALUE!</v>
      </c>
      <c r="CC8" t="e">
        <f>AND('Fungi &amp; Lichen'!U6,"AAAAAE///1A=")</f>
        <v>#VALUE!</v>
      </c>
      <c r="CD8" t="e">
        <f>AND('Fungi &amp; Lichen'!V6,"AAAAAE///1E=")</f>
        <v>#VALUE!</v>
      </c>
      <c r="CE8">
        <f>IF('Fungi &amp; Lichen'!7:7,"AAAAAE///1I=",0)</f>
        <v>0</v>
      </c>
      <c r="CF8" t="e">
        <f>AND('Fungi &amp; Lichen'!A7,"AAAAAE///1M=")</f>
        <v>#VALUE!</v>
      </c>
      <c r="CG8" t="e">
        <f>AND('Fungi &amp; Lichen'!B7,"AAAAAE///1Q=")</f>
        <v>#VALUE!</v>
      </c>
      <c r="CH8" t="e">
        <f>AND('Fungi &amp; Lichen'!C7,"AAAAAE///1U=")</f>
        <v>#VALUE!</v>
      </c>
      <c r="CI8" t="e">
        <f>AND('Fungi &amp; Lichen'!D7,"AAAAAE///1Y=")</f>
        <v>#VALUE!</v>
      </c>
      <c r="CJ8" t="e">
        <f>AND('Fungi &amp; Lichen'!E7,"AAAAAE///1c=")</f>
        <v>#VALUE!</v>
      </c>
      <c r="CK8" t="e">
        <f>AND('Fungi &amp; Lichen'!F7,"AAAAAE///1g=")</f>
        <v>#VALUE!</v>
      </c>
      <c r="CL8" t="e">
        <f>AND('Fungi &amp; Lichen'!G7,"AAAAAE///1k=")</f>
        <v>#VALUE!</v>
      </c>
      <c r="CM8" t="e">
        <f>AND('Fungi &amp; Lichen'!H7,"AAAAAE///1o=")</f>
        <v>#VALUE!</v>
      </c>
      <c r="CN8" t="e">
        <f>AND('Fungi &amp; Lichen'!I7,"AAAAAE///1s=")</f>
        <v>#VALUE!</v>
      </c>
      <c r="CO8" t="e">
        <f>AND('Fungi &amp; Lichen'!J7,"AAAAAE///1w=")</f>
        <v>#VALUE!</v>
      </c>
      <c r="CP8" t="e">
        <f>AND('Fungi &amp; Lichen'!K7,"AAAAAE///10=")</f>
        <v>#VALUE!</v>
      </c>
      <c r="CQ8" t="e">
        <f>AND('Fungi &amp; Lichen'!L7,"AAAAAE///14=")</f>
        <v>#VALUE!</v>
      </c>
      <c r="CR8" t="e">
        <f>AND('Fungi &amp; Lichen'!M7,"AAAAAE///18=")</f>
        <v>#VALUE!</v>
      </c>
      <c r="CS8" t="e">
        <f>AND('Fungi &amp; Lichen'!N7,"AAAAAE///2A=")</f>
        <v>#VALUE!</v>
      </c>
      <c r="CT8" t="e">
        <f>AND('Fungi &amp; Lichen'!O7,"AAAAAE///2E=")</f>
        <v>#VALUE!</v>
      </c>
      <c r="CU8" t="e">
        <f>AND('Fungi &amp; Lichen'!P7,"AAAAAE///2I=")</f>
        <v>#VALUE!</v>
      </c>
      <c r="CV8" t="e">
        <f>AND('Fungi &amp; Lichen'!Q7,"AAAAAE///2M=")</f>
        <v>#VALUE!</v>
      </c>
      <c r="CW8" t="e">
        <f>AND('Fungi &amp; Lichen'!R7,"AAAAAE///2Q=")</f>
        <v>#VALUE!</v>
      </c>
      <c r="CX8" t="e">
        <f>AND('Fungi &amp; Lichen'!S7,"AAAAAE///2U=")</f>
        <v>#VALUE!</v>
      </c>
      <c r="CY8" t="e">
        <f>AND('Fungi &amp; Lichen'!T7,"AAAAAE///2Y=")</f>
        <v>#VALUE!</v>
      </c>
      <c r="CZ8" t="e">
        <f>AND('Fungi &amp; Lichen'!U7,"AAAAAE///2c=")</f>
        <v>#VALUE!</v>
      </c>
      <c r="DA8" t="e">
        <f>AND('Fungi &amp; Lichen'!V7,"AAAAAE///2g=")</f>
        <v>#VALUE!</v>
      </c>
      <c r="DB8">
        <f>IF('Fungi &amp; Lichen'!8:8,"AAAAAE///2k=",0)</f>
        <v>0</v>
      </c>
      <c r="DC8" t="e">
        <f>AND('Fungi &amp; Lichen'!A8,"AAAAAE///2o=")</f>
        <v>#VALUE!</v>
      </c>
      <c r="DD8" t="e">
        <f>AND('Fungi &amp; Lichen'!B8,"AAAAAE///2s=")</f>
        <v>#VALUE!</v>
      </c>
      <c r="DE8" t="e">
        <f>AND('Fungi &amp; Lichen'!C8,"AAAAAE///2w=")</f>
        <v>#VALUE!</v>
      </c>
      <c r="DF8" t="e">
        <f>AND('Fungi &amp; Lichen'!D8,"AAAAAE///20=")</f>
        <v>#VALUE!</v>
      </c>
      <c r="DG8" t="e">
        <f>AND('Fungi &amp; Lichen'!E8,"AAAAAE///24=")</f>
        <v>#VALUE!</v>
      </c>
      <c r="DH8" t="e">
        <f>AND('Fungi &amp; Lichen'!F8,"AAAAAE///28=")</f>
        <v>#VALUE!</v>
      </c>
      <c r="DI8" t="e">
        <f>AND('Fungi &amp; Lichen'!G8,"AAAAAE///3A=")</f>
        <v>#VALUE!</v>
      </c>
      <c r="DJ8" t="e">
        <f>AND('Fungi &amp; Lichen'!H8,"AAAAAE///3E=")</f>
        <v>#VALUE!</v>
      </c>
      <c r="DK8" t="e">
        <f>AND('Fungi &amp; Lichen'!I8,"AAAAAE///3I=")</f>
        <v>#VALUE!</v>
      </c>
      <c r="DL8" t="e">
        <f>AND('Fungi &amp; Lichen'!J8,"AAAAAE///3M=")</f>
        <v>#VALUE!</v>
      </c>
      <c r="DM8" t="e">
        <f>AND('Fungi &amp; Lichen'!K8,"AAAAAE///3Q=")</f>
        <v>#VALUE!</v>
      </c>
      <c r="DN8" t="e">
        <f>AND('Fungi &amp; Lichen'!L8,"AAAAAE///3U=")</f>
        <v>#VALUE!</v>
      </c>
      <c r="DO8" t="e">
        <f>AND('Fungi &amp; Lichen'!M8,"AAAAAE///3Y=")</f>
        <v>#VALUE!</v>
      </c>
      <c r="DP8" t="e">
        <f>AND('Fungi &amp; Lichen'!N8,"AAAAAE///3c=")</f>
        <v>#VALUE!</v>
      </c>
      <c r="DQ8" t="e">
        <f>AND('Fungi &amp; Lichen'!O8,"AAAAAE///3g=")</f>
        <v>#VALUE!</v>
      </c>
      <c r="DR8" t="e">
        <f>AND('Fungi &amp; Lichen'!P8,"AAAAAE///3k=")</f>
        <v>#VALUE!</v>
      </c>
      <c r="DS8" t="e">
        <f>AND('Fungi &amp; Lichen'!Q8,"AAAAAE///3o=")</f>
        <v>#VALUE!</v>
      </c>
      <c r="DT8" t="e">
        <f>AND('Fungi &amp; Lichen'!R8,"AAAAAE///3s=")</f>
        <v>#VALUE!</v>
      </c>
      <c r="DU8" t="e">
        <f>AND('Fungi &amp; Lichen'!S8,"AAAAAE///3w=")</f>
        <v>#VALUE!</v>
      </c>
      <c r="DV8" t="e">
        <f>AND('Fungi &amp; Lichen'!T8,"AAAAAE///30=")</f>
        <v>#VALUE!</v>
      </c>
      <c r="DW8" t="e">
        <f>AND('Fungi &amp; Lichen'!U8,"AAAAAE///34=")</f>
        <v>#VALUE!</v>
      </c>
      <c r="DX8" t="e">
        <f>AND('Fungi &amp; Lichen'!V8,"AAAAAE///38=")</f>
        <v>#VALUE!</v>
      </c>
      <c r="DY8">
        <f>IF('Fungi &amp; Lichen'!9:9,"AAAAAE///4A=",0)</f>
        <v>0</v>
      </c>
      <c r="DZ8" t="e">
        <f>AND('Fungi &amp; Lichen'!A9,"AAAAAE///4E=")</f>
        <v>#VALUE!</v>
      </c>
      <c r="EA8" t="e">
        <f>AND('Fungi &amp; Lichen'!B9,"AAAAAE///4I=")</f>
        <v>#VALUE!</v>
      </c>
      <c r="EB8" t="e">
        <f>AND('Fungi &amp; Lichen'!C9,"AAAAAE///4M=")</f>
        <v>#VALUE!</v>
      </c>
      <c r="EC8" t="e">
        <f>AND('Fungi &amp; Lichen'!D9,"AAAAAE///4Q=")</f>
        <v>#VALUE!</v>
      </c>
      <c r="ED8" t="e">
        <f>AND('Fungi &amp; Lichen'!E9,"AAAAAE///4U=")</f>
        <v>#VALUE!</v>
      </c>
      <c r="EE8" t="e">
        <f>AND('Fungi &amp; Lichen'!F9,"AAAAAE///4Y=")</f>
        <v>#VALUE!</v>
      </c>
      <c r="EF8" t="e">
        <f>AND('Fungi &amp; Lichen'!G9,"AAAAAE///4c=")</f>
        <v>#VALUE!</v>
      </c>
      <c r="EG8" t="e">
        <f>AND('Fungi &amp; Lichen'!H9,"AAAAAE///4g=")</f>
        <v>#VALUE!</v>
      </c>
      <c r="EH8" t="e">
        <f>AND('Fungi &amp; Lichen'!I9,"AAAAAE///4k=")</f>
        <v>#VALUE!</v>
      </c>
      <c r="EI8" t="e">
        <f>AND('Fungi &amp; Lichen'!J9,"AAAAAE///4o=")</f>
        <v>#VALUE!</v>
      </c>
      <c r="EJ8" t="e">
        <f>AND('Fungi &amp; Lichen'!K9,"AAAAAE///4s=")</f>
        <v>#VALUE!</v>
      </c>
      <c r="EK8" t="e">
        <f>AND('Fungi &amp; Lichen'!L9,"AAAAAE///4w=")</f>
        <v>#VALUE!</v>
      </c>
      <c r="EL8" t="e">
        <f>AND('Fungi &amp; Lichen'!M9,"AAAAAE///40=")</f>
        <v>#VALUE!</v>
      </c>
      <c r="EM8" t="e">
        <f>AND('Fungi &amp; Lichen'!N9,"AAAAAE///44=")</f>
        <v>#VALUE!</v>
      </c>
      <c r="EN8" t="e">
        <f>AND('Fungi &amp; Lichen'!O9,"AAAAAE///48=")</f>
        <v>#VALUE!</v>
      </c>
      <c r="EO8" t="e">
        <f>AND('Fungi &amp; Lichen'!P9,"AAAAAE///5A=")</f>
        <v>#VALUE!</v>
      </c>
      <c r="EP8" t="e">
        <f>AND('Fungi &amp; Lichen'!Q9,"AAAAAE///5E=")</f>
        <v>#VALUE!</v>
      </c>
      <c r="EQ8" t="e">
        <f>AND('Fungi &amp; Lichen'!R9,"AAAAAE///5I=")</f>
        <v>#VALUE!</v>
      </c>
      <c r="ER8" t="e">
        <f>AND('Fungi &amp; Lichen'!S9,"AAAAAE///5M=")</f>
        <v>#VALUE!</v>
      </c>
      <c r="ES8" t="e">
        <f>AND('Fungi &amp; Lichen'!T9,"AAAAAE///5Q=")</f>
        <v>#VALUE!</v>
      </c>
      <c r="ET8" t="e">
        <f>AND('Fungi &amp; Lichen'!U9,"AAAAAE///5U=")</f>
        <v>#VALUE!</v>
      </c>
      <c r="EU8" t="e">
        <f>AND('Fungi &amp; Lichen'!V9,"AAAAAE///5Y=")</f>
        <v>#VALUE!</v>
      </c>
      <c r="EV8">
        <f>IF('Fungi &amp; Lichen'!10:10,"AAAAAE///5c=",0)</f>
        <v>0</v>
      </c>
      <c r="EW8" t="e">
        <f>AND('Fungi &amp; Lichen'!A10,"AAAAAE///5g=")</f>
        <v>#VALUE!</v>
      </c>
      <c r="EX8" t="e">
        <f>AND('Fungi &amp; Lichen'!B10,"AAAAAE///5k=")</f>
        <v>#VALUE!</v>
      </c>
      <c r="EY8" t="e">
        <f>AND('Fungi &amp; Lichen'!C10,"AAAAAE///5o=")</f>
        <v>#VALUE!</v>
      </c>
      <c r="EZ8" t="e">
        <f>AND('Fungi &amp; Lichen'!D10,"AAAAAE///5s=")</f>
        <v>#VALUE!</v>
      </c>
      <c r="FA8" t="e">
        <f>AND('Fungi &amp; Lichen'!E10,"AAAAAE///5w=")</f>
        <v>#VALUE!</v>
      </c>
      <c r="FB8" t="e">
        <f>AND('Fungi &amp; Lichen'!F10,"AAAAAE///50=")</f>
        <v>#VALUE!</v>
      </c>
      <c r="FC8" t="e">
        <f>AND('Fungi &amp; Lichen'!G10,"AAAAAE///54=")</f>
        <v>#VALUE!</v>
      </c>
      <c r="FD8" t="e">
        <f>AND('Fungi &amp; Lichen'!H10,"AAAAAE///58=")</f>
        <v>#VALUE!</v>
      </c>
      <c r="FE8" t="e">
        <f>AND('Fungi &amp; Lichen'!I10,"AAAAAE///6A=")</f>
        <v>#VALUE!</v>
      </c>
      <c r="FF8" t="e">
        <f>AND('Fungi &amp; Lichen'!J10,"AAAAAE///6E=")</f>
        <v>#VALUE!</v>
      </c>
      <c r="FG8" t="e">
        <f>AND('Fungi &amp; Lichen'!K10,"AAAAAE///6I=")</f>
        <v>#VALUE!</v>
      </c>
      <c r="FH8" t="e">
        <f>AND('Fungi &amp; Lichen'!L10,"AAAAAE///6M=")</f>
        <v>#VALUE!</v>
      </c>
      <c r="FI8" t="e">
        <f>AND('Fungi &amp; Lichen'!M10,"AAAAAE///6Q=")</f>
        <v>#VALUE!</v>
      </c>
      <c r="FJ8" t="e">
        <f>AND('Fungi &amp; Lichen'!N10,"AAAAAE///6U=")</f>
        <v>#VALUE!</v>
      </c>
      <c r="FK8" t="e">
        <f>AND('Fungi &amp; Lichen'!O10,"AAAAAE///6Y=")</f>
        <v>#VALUE!</v>
      </c>
      <c r="FL8" t="e">
        <f>AND('Fungi &amp; Lichen'!P10,"AAAAAE///6c=")</f>
        <v>#VALUE!</v>
      </c>
      <c r="FM8" t="e">
        <f>AND('Fungi &amp; Lichen'!Q10,"AAAAAE///6g=")</f>
        <v>#VALUE!</v>
      </c>
      <c r="FN8" t="e">
        <f>AND('Fungi &amp; Lichen'!R10,"AAAAAE///6k=")</f>
        <v>#VALUE!</v>
      </c>
      <c r="FO8" t="e">
        <f>AND('Fungi &amp; Lichen'!S10,"AAAAAE///6o=")</f>
        <v>#VALUE!</v>
      </c>
      <c r="FP8" t="e">
        <f>AND('Fungi &amp; Lichen'!T10,"AAAAAE///6s=")</f>
        <v>#VALUE!</v>
      </c>
      <c r="FQ8" t="e">
        <f>AND('Fungi &amp; Lichen'!U10,"AAAAAE///6w=")</f>
        <v>#VALUE!</v>
      </c>
      <c r="FR8" t="e">
        <f>AND('Fungi &amp; Lichen'!V10,"AAAAAE///60=")</f>
        <v>#VALUE!</v>
      </c>
      <c r="FS8">
        <f>IF('Fungi &amp; Lichen'!11:11,"AAAAAE///64=",0)</f>
        <v>0</v>
      </c>
      <c r="FT8" t="e">
        <f>AND('Fungi &amp; Lichen'!A11,"AAAAAE///68=")</f>
        <v>#VALUE!</v>
      </c>
      <c r="FU8" t="e">
        <f>AND('Fungi &amp; Lichen'!B11,"AAAAAE///7A=")</f>
        <v>#VALUE!</v>
      </c>
      <c r="FV8" t="e">
        <f>AND('Fungi &amp; Lichen'!C11,"AAAAAE///7E=")</f>
        <v>#VALUE!</v>
      </c>
      <c r="FW8" t="e">
        <f>AND('Fungi &amp; Lichen'!D11,"AAAAAE///7I=")</f>
        <v>#VALUE!</v>
      </c>
      <c r="FX8" t="e">
        <f>AND('Fungi &amp; Lichen'!E11,"AAAAAE///7M=")</f>
        <v>#VALUE!</v>
      </c>
      <c r="FY8" t="e">
        <f>AND('Fungi &amp; Lichen'!F11,"AAAAAE///7Q=")</f>
        <v>#VALUE!</v>
      </c>
      <c r="FZ8" t="e">
        <f>AND('Fungi &amp; Lichen'!G11,"AAAAAE///7U=")</f>
        <v>#VALUE!</v>
      </c>
      <c r="GA8" t="e">
        <f>AND('Fungi &amp; Lichen'!H11,"AAAAAE///7Y=")</f>
        <v>#VALUE!</v>
      </c>
      <c r="GB8" t="e">
        <f>AND('Fungi &amp; Lichen'!I11,"AAAAAE///7c=")</f>
        <v>#VALUE!</v>
      </c>
      <c r="GC8" t="e">
        <f>AND('Fungi &amp; Lichen'!J11,"AAAAAE///7g=")</f>
        <v>#VALUE!</v>
      </c>
      <c r="GD8" t="e">
        <f>AND('Fungi &amp; Lichen'!K11,"AAAAAE///7k=")</f>
        <v>#VALUE!</v>
      </c>
      <c r="GE8" t="e">
        <f>AND('Fungi &amp; Lichen'!L11,"AAAAAE///7o=")</f>
        <v>#VALUE!</v>
      </c>
      <c r="GF8" t="e">
        <f>AND('Fungi &amp; Lichen'!M11,"AAAAAE///7s=")</f>
        <v>#VALUE!</v>
      </c>
      <c r="GG8" t="e">
        <f>AND('Fungi &amp; Lichen'!N11,"AAAAAE///7w=")</f>
        <v>#VALUE!</v>
      </c>
      <c r="GH8" t="e">
        <f>AND('Fungi &amp; Lichen'!O11,"AAAAAE///70=")</f>
        <v>#VALUE!</v>
      </c>
      <c r="GI8" t="e">
        <f>AND('Fungi &amp; Lichen'!P11,"AAAAAE///74=")</f>
        <v>#VALUE!</v>
      </c>
      <c r="GJ8" t="e">
        <f>AND('Fungi &amp; Lichen'!Q11,"AAAAAE///78=")</f>
        <v>#VALUE!</v>
      </c>
      <c r="GK8" t="e">
        <f>AND('Fungi &amp; Lichen'!R11,"AAAAAE///8A=")</f>
        <v>#VALUE!</v>
      </c>
      <c r="GL8" t="e">
        <f>AND('Fungi &amp; Lichen'!S11,"AAAAAE///8E=")</f>
        <v>#VALUE!</v>
      </c>
      <c r="GM8" t="e">
        <f>AND('Fungi &amp; Lichen'!T11,"AAAAAE///8I=")</f>
        <v>#VALUE!</v>
      </c>
      <c r="GN8" t="e">
        <f>AND('Fungi &amp; Lichen'!U11,"AAAAAE///8M=")</f>
        <v>#VALUE!</v>
      </c>
      <c r="GO8" t="e">
        <f>AND('Fungi &amp; Lichen'!V11,"AAAAAE///8Q=")</f>
        <v>#VALUE!</v>
      </c>
      <c r="GP8">
        <f>IF('Fungi &amp; Lichen'!12:12,"AAAAAE///8U=",0)</f>
        <v>0</v>
      </c>
      <c r="GQ8" t="e">
        <f>AND('Fungi &amp; Lichen'!A12,"AAAAAE///8Y=")</f>
        <v>#VALUE!</v>
      </c>
      <c r="GR8" t="e">
        <f>AND('Fungi &amp; Lichen'!B12,"AAAAAE///8c=")</f>
        <v>#VALUE!</v>
      </c>
      <c r="GS8" t="e">
        <f>AND('Fungi &amp; Lichen'!C12,"AAAAAE///8g=")</f>
        <v>#VALUE!</v>
      </c>
      <c r="GT8" t="e">
        <f>AND('Fungi &amp; Lichen'!D12,"AAAAAE///8k=")</f>
        <v>#VALUE!</v>
      </c>
      <c r="GU8" t="e">
        <f>AND('Fungi &amp; Lichen'!E12,"AAAAAE///8o=")</f>
        <v>#VALUE!</v>
      </c>
      <c r="GV8" t="e">
        <f>AND('Fungi &amp; Lichen'!F12,"AAAAAE///8s=")</f>
        <v>#VALUE!</v>
      </c>
      <c r="GW8" t="e">
        <f>AND('Fungi &amp; Lichen'!G12,"AAAAAE///8w=")</f>
        <v>#VALUE!</v>
      </c>
      <c r="GX8" t="e">
        <f>AND('Fungi &amp; Lichen'!H12,"AAAAAE///80=")</f>
        <v>#VALUE!</v>
      </c>
      <c r="GY8" t="e">
        <f>AND('Fungi &amp; Lichen'!I12,"AAAAAE///84=")</f>
        <v>#VALUE!</v>
      </c>
      <c r="GZ8" t="e">
        <f>AND('Fungi &amp; Lichen'!J12,"AAAAAE///88=")</f>
        <v>#VALUE!</v>
      </c>
      <c r="HA8" t="e">
        <f>AND('Fungi &amp; Lichen'!K12,"AAAAAE///9A=")</f>
        <v>#VALUE!</v>
      </c>
      <c r="HB8" t="e">
        <f>AND('Fungi &amp; Lichen'!L12,"AAAAAE///9E=")</f>
        <v>#VALUE!</v>
      </c>
      <c r="HC8" t="e">
        <f>AND('Fungi &amp; Lichen'!M12,"AAAAAE///9I=")</f>
        <v>#VALUE!</v>
      </c>
      <c r="HD8" t="e">
        <f>AND('Fungi &amp; Lichen'!N12,"AAAAAE///9M=")</f>
        <v>#VALUE!</v>
      </c>
      <c r="HE8" t="e">
        <f>AND('Fungi &amp; Lichen'!O12,"AAAAAE///9Q=")</f>
        <v>#VALUE!</v>
      </c>
      <c r="HF8" t="e">
        <f>AND('Fungi &amp; Lichen'!P12,"AAAAAE///9U=")</f>
        <v>#VALUE!</v>
      </c>
      <c r="HG8" t="e">
        <f>AND('Fungi &amp; Lichen'!Q12,"AAAAAE///9Y=")</f>
        <v>#VALUE!</v>
      </c>
      <c r="HH8" t="e">
        <f>AND('Fungi &amp; Lichen'!R12,"AAAAAE///9c=")</f>
        <v>#VALUE!</v>
      </c>
      <c r="HI8" t="e">
        <f>AND('Fungi &amp; Lichen'!S12,"AAAAAE///9g=")</f>
        <v>#VALUE!</v>
      </c>
      <c r="HJ8" t="e">
        <f>AND('Fungi &amp; Lichen'!T12,"AAAAAE///9k=")</f>
        <v>#VALUE!</v>
      </c>
      <c r="HK8" t="e">
        <f>AND('Fungi &amp; Lichen'!U12,"AAAAAE///9o=")</f>
        <v>#VALUE!</v>
      </c>
      <c r="HL8" t="e">
        <f>AND('Fungi &amp; Lichen'!V12,"AAAAAE///9s=")</f>
        <v>#VALUE!</v>
      </c>
      <c r="HM8">
        <f>IF('Fungi &amp; Lichen'!13:13,"AAAAAE///9w=",0)</f>
        <v>0</v>
      </c>
      <c r="HN8" t="e">
        <f>AND('Fungi &amp; Lichen'!A13,"AAAAAE///90=")</f>
        <v>#VALUE!</v>
      </c>
      <c r="HO8" t="e">
        <f>AND('Fungi &amp; Lichen'!B13,"AAAAAE///94=")</f>
        <v>#VALUE!</v>
      </c>
      <c r="HP8" t="e">
        <f>AND('Fungi &amp; Lichen'!C13,"AAAAAE///98=")</f>
        <v>#VALUE!</v>
      </c>
      <c r="HQ8" t="e">
        <f>AND('Fungi &amp; Lichen'!D13,"AAAAAE///+A=")</f>
        <v>#VALUE!</v>
      </c>
      <c r="HR8" t="e">
        <f>AND('Fungi &amp; Lichen'!E13,"AAAAAE///+E=")</f>
        <v>#VALUE!</v>
      </c>
      <c r="HS8" t="e">
        <f>AND('Fungi &amp; Lichen'!F13,"AAAAAE///+I=")</f>
        <v>#VALUE!</v>
      </c>
      <c r="HT8" t="e">
        <f>AND('Fungi &amp; Lichen'!G13,"AAAAAE///+M=")</f>
        <v>#VALUE!</v>
      </c>
      <c r="HU8" t="e">
        <f>AND('Fungi &amp; Lichen'!H13,"AAAAAE///+Q=")</f>
        <v>#VALUE!</v>
      </c>
      <c r="HV8" t="e">
        <f>AND('Fungi &amp; Lichen'!I13,"AAAAAE///+U=")</f>
        <v>#VALUE!</v>
      </c>
      <c r="HW8" t="e">
        <f>AND('Fungi &amp; Lichen'!J13,"AAAAAE///+Y=")</f>
        <v>#VALUE!</v>
      </c>
      <c r="HX8" t="e">
        <f>AND('Fungi &amp; Lichen'!K13,"AAAAAE///+c=")</f>
        <v>#VALUE!</v>
      </c>
      <c r="HY8" t="e">
        <f>AND('Fungi &amp; Lichen'!L13,"AAAAAE///+g=")</f>
        <v>#VALUE!</v>
      </c>
      <c r="HZ8" t="e">
        <f>AND('Fungi &amp; Lichen'!M13,"AAAAAE///+k=")</f>
        <v>#VALUE!</v>
      </c>
      <c r="IA8" t="e">
        <f>AND('Fungi &amp; Lichen'!N13,"AAAAAE///+o=")</f>
        <v>#VALUE!</v>
      </c>
      <c r="IB8" t="e">
        <f>AND('Fungi &amp; Lichen'!O13,"AAAAAE///+s=")</f>
        <v>#VALUE!</v>
      </c>
      <c r="IC8" t="e">
        <f>AND('Fungi &amp; Lichen'!P13,"AAAAAE///+w=")</f>
        <v>#VALUE!</v>
      </c>
      <c r="ID8" t="e">
        <f>AND('Fungi &amp; Lichen'!Q13,"AAAAAE///+0=")</f>
        <v>#VALUE!</v>
      </c>
      <c r="IE8" t="e">
        <f>AND('Fungi &amp; Lichen'!R13,"AAAAAE///+4=")</f>
        <v>#VALUE!</v>
      </c>
      <c r="IF8" t="e">
        <f>AND('Fungi &amp; Lichen'!S13,"AAAAAE///+8=")</f>
        <v>#VALUE!</v>
      </c>
      <c r="IG8" t="e">
        <f>AND('Fungi &amp; Lichen'!T13,"AAAAAE////A=")</f>
        <v>#VALUE!</v>
      </c>
      <c r="IH8" t="e">
        <f>AND('Fungi &amp; Lichen'!U13,"AAAAAE////E=")</f>
        <v>#VALUE!</v>
      </c>
      <c r="II8" t="e">
        <f>AND('Fungi &amp; Lichen'!V13,"AAAAAE////I=")</f>
        <v>#VALUE!</v>
      </c>
      <c r="IJ8">
        <f>IF('Fungi &amp; Lichen'!14:14,"AAAAAE////M=",0)</f>
        <v>0</v>
      </c>
      <c r="IK8" t="e">
        <f>AND('Fungi &amp; Lichen'!A14,"AAAAAE////Q=")</f>
        <v>#VALUE!</v>
      </c>
      <c r="IL8" t="e">
        <f>AND('Fungi &amp; Lichen'!B14,"AAAAAE////U=")</f>
        <v>#VALUE!</v>
      </c>
      <c r="IM8" t="e">
        <f>AND('Fungi &amp; Lichen'!C14,"AAAAAE////Y=")</f>
        <v>#VALUE!</v>
      </c>
      <c r="IN8" t="e">
        <f>AND('Fungi &amp; Lichen'!D14,"AAAAAE////c=")</f>
        <v>#VALUE!</v>
      </c>
      <c r="IO8" t="e">
        <f>AND('Fungi &amp; Lichen'!E14,"AAAAAE////g=")</f>
        <v>#VALUE!</v>
      </c>
      <c r="IP8" t="e">
        <f>AND('Fungi &amp; Lichen'!F14,"AAAAAE////k=")</f>
        <v>#VALUE!</v>
      </c>
      <c r="IQ8" t="e">
        <f>AND('Fungi &amp; Lichen'!G14,"AAAAAE////o=")</f>
        <v>#VALUE!</v>
      </c>
      <c r="IR8" t="e">
        <f>AND('Fungi &amp; Lichen'!H14,"AAAAAE////s=")</f>
        <v>#VALUE!</v>
      </c>
      <c r="IS8" t="e">
        <f>AND('Fungi &amp; Lichen'!I14,"AAAAAE////w=")</f>
        <v>#VALUE!</v>
      </c>
      <c r="IT8" t="e">
        <f>AND('Fungi &amp; Lichen'!J14,"AAAAAE////0=")</f>
        <v>#VALUE!</v>
      </c>
      <c r="IU8" t="e">
        <f>AND('Fungi &amp; Lichen'!K14,"AAAAAE////4=")</f>
        <v>#VALUE!</v>
      </c>
      <c r="IV8" t="e">
        <f>AND('Fungi &amp; Lichen'!L14,"AAAAAE////8=")</f>
        <v>#VALUE!</v>
      </c>
    </row>
    <row r="9" spans="1:256">
      <c r="A9" t="e">
        <f>AND('Fungi &amp; Lichen'!M14,"AAAAAH/cHwA=")</f>
        <v>#VALUE!</v>
      </c>
      <c r="B9" t="e">
        <f>AND('Fungi &amp; Lichen'!N14,"AAAAAH/cHwE=")</f>
        <v>#VALUE!</v>
      </c>
      <c r="C9" t="e">
        <f>AND('Fungi &amp; Lichen'!O14,"AAAAAH/cHwI=")</f>
        <v>#VALUE!</v>
      </c>
      <c r="D9" t="e">
        <f>AND('Fungi &amp; Lichen'!P14,"AAAAAH/cHwM=")</f>
        <v>#VALUE!</v>
      </c>
      <c r="E9" t="e">
        <f>AND('Fungi &amp; Lichen'!Q14,"AAAAAH/cHwQ=")</f>
        <v>#VALUE!</v>
      </c>
      <c r="F9" t="e">
        <f>AND('Fungi &amp; Lichen'!R14,"AAAAAH/cHwU=")</f>
        <v>#VALUE!</v>
      </c>
      <c r="G9" t="e">
        <f>AND('Fungi &amp; Lichen'!S14,"AAAAAH/cHwY=")</f>
        <v>#VALUE!</v>
      </c>
      <c r="H9" t="e">
        <f>AND('Fungi &amp; Lichen'!T14,"AAAAAH/cHwc=")</f>
        <v>#VALUE!</v>
      </c>
      <c r="I9" t="e">
        <f>AND('Fungi &amp; Lichen'!U14,"AAAAAH/cHwg=")</f>
        <v>#VALUE!</v>
      </c>
      <c r="J9" t="e">
        <f>AND('Fungi &amp; Lichen'!V14,"AAAAAH/cHwk=")</f>
        <v>#VALUE!</v>
      </c>
      <c r="K9">
        <f>IF('Fungi &amp; Lichen'!15:15,"AAAAAH/cHwo=",0)</f>
        <v>0</v>
      </c>
      <c r="L9" t="e">
        <f>AND('Fungi &amp; Lichen'!A15,"AAAAAH/cHws=")</f>
        <v>#VALUE!</v>
      </c>
      <c r="M9" t="e">
        <f>AND('Fungi &amp; Lichen'!B15,"AAAAAH/cHww=")</f>
        <v>#VALUE!</v>
      </c>
      <c r="N9" t="e">
        <f>AND('Fungi &amp; Lichen'!C15,"AAAAAH/cHw0=")</f>
        <v>#VALUE!</v>
      </c>
      <c r="O9" t="e">
        <f>AND('Fungi &amp; Lichen'!D15,"AAAAAH/cHw4=")</f>
        <v>#VALUE!</v>
      </c>
      <c r="P9" t="e">
        <f>AND('Fungi &amp; Lichen'!E15,"AAAAAH/cHw8=")</f>
        <v>#VALUE!</v>
      </c>
      <c r="Q9" t="e">
        <f>AND('Fungi &amp; Lichen'!F15,"AAAAAH/cHxA=")</f>
        <v>#VALUE!</v>
      </c>
      <c r="R9" t="e">
        <f>AND('Fungi &amp; Lichen'!G15,"AAAAAH/cHxE=")</f>
        <v>#VALUE!</v>
      </c>
      <c r="S9" t="e">
        <f>AND('Fungi &amp; Lichen'!H15,"AAAAAH/cHxI=")</f>
        <v>#VALUE!</v>
      </c>
      <c r="T9" t="e">
        <f>AND('Fungi &amp; Lichen'!I15,"AAAAAH/cHxM=")</f>
        <v>#VALUE!</v>
      </c>
      <c r="U9" t="e">
        <f>AND('Fungi &amp; Lichen'!J15,"AAAAAH/cHxQ=")</f>
        <v>#VALUE!</v>
      </c>
      <c r="V9" t="e">
        <f>AND('Fungi &amp; Lichen'!K15,"AAAAAH/cHxU=")</f>
        <v>#VALUE!</v>
      </c>
      <c r="W9" t="e">
        <f>AND('Fungi &amp; Lichen'!L15,"AAAAAH/cHxY=")</f>
        <v>#VALUE!</v>
      </c>
      <c r="X9" t="e">
        <f>AND('Fungi &amp; Lichen'!M15,"AAAAAH/cHxc=")</f>
        <v>#VALUE!</v>
      </c>
      <c r="Y9" t="e">
        <f>AND('Fungi &amp; Lichen'!N15,"AAAAAH/cHxg=")</f>
        <v>#VALUE!</v>
      </c>
      <c r="Z9" t="e">
        <f>AND('Fungi &amp; Lichen'!O15,"AAAAAH/cHxk=")</f>
        <v>#VALUE!</v>
      </c>
      <c r="AA9" t="e">
        <f>AND('Fungi &amp; Lichen'!P15,"AAAAAH/cHxo=")</f>
        <v>#VALUE!</v>
      </c>
      <c r="AB9" t="e">
        <f>AND('Fungi &amp; Lichen'!Q15,"AAAAAH/cHxs=")</f>
        <v>#VALUE!</v>
      </c>
      <c r="AC9" t="e">
        <f>AND('Fungi &amp; Lichen'!R15,"AAAAAH/cHxw=")</f>
        <v>#VALUE!</v>
      </c>
      <c r="AD9" t="e">
        <f>AND('Fungi &amp; Lichen'!S15,"AAAAAH/cHx0=")</f>
        <v>#VALUE!</v>
      </c>
      <c r="AE9" t="e">
        <f>AND('Fungi &amp; Lichen'!T15,"AAAAAH/cHx4=")</f>
        <v>#VALUE!</v>
      </c>
      <c r="AF9" t="e">
        <f>AND('Fungi &amp; Lichen'!U15,"AAAAAH/cHx8=")</f>
        <v>#VALUE!</v>
      </c>
      <c r="AG9" t="e">
        <f>AND('Fungi &amp; Lichen'!V15,"AAAAAH/cHyA=")</f>
        <v>#VALUE!</v>
      </c>
      <c r="AH9">
        <f>IF('Fungi &amp; Lichen'!16:16,"AAAAAH/cHyE=",0)</f>
        <v>0</v>
      </c>
      <c r="AI9" t="e">
        <f>AND('Fungi &amp; Lichen'!A16,"AAAAAH/cHyI=")</f>
        <v>#VALUE!</v>
      </c>
      <c r="AJ9" t="e">
        <f>AND('Fungi &amp; Lichen'!B16,"AAAAAH/cHyM=")</f>
        <v>#VALUE!</v>
      </c>
      <c r="AK9" t="e">
        <f>AND('Fungi &amp; Lichen'!C16,"AAAAAH/cHyQ=")</f>
        <v>#VALUE!</v>
      </c>
      <c r="AL9" t="e">
        <f>AND('Fungi &amp; Lichen'!D16,"AAAAAH/cHyU=")</f>
        <v>#VALUE!</v>
      </c>
      <c r="AM9" t="e">
        <f>AND('Fungi &amp; Lichen'!E16,"AAAAAH/cHyY=")</f>
        <v>#VALUE!</v>
      </c>
      <c r="AN9" t="e">
        <f>AND('Fungi &amp; Lichen'!F16,"AAAAAH/cHyc=")</f>
        <v>#VALUE!</v>
      </c>
      <c r="AO9" t="e">
        <f>AND('Fungi &amp; Lichen'!G16,"AAAAAH/cHyg=")</f>
        <v>#VALUE!</v>
      </c>
      <c r="AP9" t="e">
        <f>AND('Fungi &amp; Lichen'!H16,"AAAAAH/cHyk=")</f>
        <v>#VALUE!</v>
      </c>
      <c r="AQ9" t="e">
        <f>AND('Fungi &amp; Lichen'!I16,"AAAAAH/cHyo=")</f>
        <v>#VALUE!</v>
      </c>
      <c r="AR9" t="e">
        <f>AND('Fungi &amp; Lichen'!J16,"AAAAAH/cHys=")</f>
        <v>#VALUE!</v>
      </c>
      <c r="AS9" t="e">
        <f>AND('Fungi &amp; Lichen'!K16,"AAAAAH/cHyw=")</f>
        <v>#VALUE!</v>
      </c>
      <c r="AT9" t="e">
        <f>AND('Fungi &amp; Lichen'!L16,"AAAAAH/cHy0=")</f>
        <v>#VALUE!</v>
      </c>
      <c r="AU9" t="e">
        <f>AND('Fungi &amp; Lichen'!M16,"AAAAAH/cHy4=")</f>
        <v>#VALUE!</v>
      </c>
      <c r="AV9" t="e">
        <f>AND('Fungi &amp; Lichen'!N16,"AAAAAH/cHy8=")</f>
        <v>#VALUE!</v>
      </c>
      <c r="AW9" t="e">
        <f>AND('Fungi &amp; Lichen'!O16,"AAAAAH/cHzA=")</f>
        <v>#VALUE!</v>
      </c>
      <c r="AX9" t="e">
        <f>AND('Fungi &amp; Lichen'!P16,"AAAAAH/cHzE=")</f>
        <v>#VALUE!</v>
      </c>
      <c r="AY9" t="e">
        <f>AND('Fungi &amp; Lichen'!Q16,"AAAAAH/cHzI=")</f>
        <v>#VALUE!</v>
      </c>
      <c r="AZ9" t="e">
        <f>AND('Fungi &amp; Lichen'!R16,"AAAAAH/cHzM=")</f>
        <v>#VALUE!</v>
      </c>
      <c r="BA9" t="e">
        <f>AND('Fungi &amp; Lichen'!S16,"AAAAAH/cHzQ=")</f>
        <v>#VALUE!</v>
      </c>
      <c r="BB9" t="e">
        <f>AND('Fungi &amp; Lichen'!T16,"AAAAAH/cHzU=")</f>
        <v>#VALUE!</v>
      </c>
      <c r="BC9" t="e">
        <f>AND('Fungi &amp; Lichen'!U16,"AAAAAH/cHzY=")</f>
        <v>#VALUE!</v>
      </c>
      <c r="BD9" t="e">
        <f>AND('Fungi &amp; Lichen'!V16,"AAAAAH/cHzc=")</f>
        <v>#VALUE!</v>
      </c>
      <c r="BE9">
        <f>IF('Fungi &amp; Lichen'!17:17,"AAAAAH/cHzg=",0)</f>
        <v>0</v>
      </c>
      <c r="BF9" t="e">
        <f>AND('Fungi &amp; Lichen'!A17,"AAAAAH/cHzk=")</f>
        <v>#VALUE!</v>
      </c>
      <c r="BG9" t="e">
        <f>AND('Fungi &amp; Lichen'!B17,"AAAAAH/cHzo=")</f>
        <v>#VALUE!</v>
      </c>
      <c r="BH9" t="e">
        <f>AND('Fungi &amp; Lichen'!C17,"AAAAAH/cHzs=")</f>
        <v>#VALUE!</v>
      </c>
      <c r="BI9" t="e">
        <f>AND('Fungi &amp; Lichen'!D17,"AAAAAH/cHzw=")</f>
        <v>#VALUE!</v>
      </c>
      <c r="BJ9" t="e">
        <f>AND('Fungi &amp; Lichen'!E17,"AAAAAH/cHz0=")</f>
        <v>#VALUE!</v>
      </c>
      <c r="BK9" t="e">
        <f>AND('Fungi &amp; Lichen'!F17,"AAAAAH/cHz4=")</f>
        <v>#VALUE!</v>
      </c>
      <c r="BL9" t="e">
        <f>AND('Fungi &amp; Lichen'!G17,"AAAAAH/cHz8=")</f>
        <v>#VALUE!</v>
      </c>
      <c r="BM9" t="e">
        <f>AND('Fungi &amp; Lichen'!H17,"AAAAAH/cH0A=")</f>
        <v>#VALUE!</v>
      </c>
      <c r="BN9" t="e">
        <f>AND('Fungi &amp; Lichen'!I17,"AAAAAH/cH0E=")</f>
        <v>#VALUE!</v>
      </c>
      <c r="BO9" t="e">
        <f>AND('Fungi &amp; Lichen'!J17,"AAAAAH/cH0I=")</f>
        <v>#VALUE!</v>
      </c>
      <c r="BP9" t="e">
        <f>AND('Fungi &amp; Lichen'!K17,"AAAAAH/cH0M=")</f>
        <v>#VALUE!</v>
      </c>
      <c r="BQ9" t="e">
        <f>AND('Fungi &amp; Lichen'!L17,"AAAAAH/cH0Q=")</f>
        <v>#VALUE!</v>
      </c>
      <c r="BR9" t="e">
        <f>AND('Fungi &amp; Lichen'!M17,"AAAAAH/cH0U=")</f>
        <v>#VALUE!</v>
      </c>
      <c r="BS9" t="e">
        <f>AND('Fungi &amp; Lichen'!N17,"AAAAAH/cH0Y=")</f>
        <v>#VALUE!</v>
      </c>
      <c r="BT9" t="e">
        <f>AND('Fungi &amp; Lichen'!O17,"AAAAAH/cH0c=")</f>
        <v>#VALUE!</v>
      </c>
      <c r="BU9" t="e">
        <f>AND('Fungi &amp; Lichen'!P17,"AAAAAH/cH0g=")</f>
        <v>#VALUE!</v>
      </c>
      <c r="BV9" t="e">
        <f>AND('Fungi &amp; Lichen'!Q17,"AAAAAH/cH0k=")</f>
        <v>#VALUE!</v>
      </c>
      <c r="BW9" t="e">
        <f>AND('Fungi &amp; Lichen'!R17,"AAAAAH/cH0o=")</f>
        <v>#VALUE!</v>
      </c>
      <c r="BX9" t="e">
        <f>AND('Fungi &amp; Lichen'!S17,"AAAAAH/cH0s=")</f>
        <v>#VALUE!</v>
      </c>
      <c r="BY9" t="e">
        <f>AND('Fungi &amp; Lichen'!T17,"AAAAAH/cH0w=")</f>
        <v>#VALUE!</v>
      </c>
      <c r="BZ9" t="e">
        <f>AND('Fungi &amp; Lichen'!U17,"AAAAAH/cH00=")</f>
        <v>#VALUE!</v>
      </c>
      <c r="CA9" t="e">
        <f>AND('Fungi &amp; Lichen'!V17,"AAAAAH/cH04=")</f>
        <v>#VALUE!</v>
      </c>
      <c r="CB9">
        <f>IF('Fungi &amp; Lichen'!18:18,"AAAAAH/cH08=",0)</f>
        <v>0</v>
      </c>
      <c r="CC9" t="e">
        <f>AND('Fungi &amp; Lichen'!A18,"AAAAAH/cH1A=")</f>
        <v>#VALUE!</v>
      </c>
      <c r="CD9" t="e">
        <f>AND('Fungi &amp; Lichen'!B18,"AAAAAH/cH1E=")</f>
        <v>#VALUE!</v>
      </c>
      <c r="CE9" t="e">
        <f>AND('Fungi &amp; Lichen'!C18,"AAAAAH/cH1I=")</f>
        <v>#VALUE!</v>
      </c>
      <c r="CF9" t="e">
        <f>AND('Fungi &amp; Lichen'!D18,"AAAAAH/cH1M=")</f>
        <v>#VALUE!</v>
      </c>
      <c r="CG9" t="e">
        <f>AND('Fungi &amp; Lichen'!E18,"AAAAAH/cH1Q=")</f>
        <v>#VALUE!</v>
      </c>
      <c r="CH9" t="e">
        <f>AND('Fungi &amp; Lichen'!F18,"AAAAAH/cH1U=")</f>
        <v>#VALUE!</v>
      </c>
      <c r="CI9" t="e">
        <f>AND('Fungi &amp; Lichen'!G18,"AAAAAH/cH1Y=")</f>
        <v>#VALUE!</v>
      </c>
      <c r="CJ9" t="e">
        <f>AND('Fungi &amp; Lichen'!H18,"AAAAAH/cH1c=")</f>
        <v>#VALUE!</v>
      </c>
      <c r="CK9" t="e">
        <f>AND('Fungi &amp; Lichen'!I18,"AAAAAH/cH1g=")</f>
        <v>#VALUE!</v>
      </c>
      <c r="CL9" t="e">
        <f>AND('Fungi &amp; Lichen'!J18,"AAAAAH/cH1k=")</f>
        <v>#VALUE!</v>
      </c>
      <c r="CM9" t="e">
        <f>AND('Fungi &amp; Lichen'!K18,"AAAAAH/cH1o=")</f>
        <v>#VALUE!</v>
      </c>
      <c r="CN9" t="e">
        <f>AND('Fungi &amp; Lichen'!L18,"AAAAAH/cH1s=")</f>
        <v>#VALUE!</v>
      </c>
      <c r="CO9" t="e">
        <f>AND('Fungi &amp; Lichen'!M18,"AAAAAH/cH1w=")</f>
        <v>#VALUE!</v>
      </c>
      <c r="CP9" t="e">
        <f>AND('Fungi &amp; Lichen'!N18,"AAAAAH/cH10=")</f>
        <v>#VALUE!</v>
      </c>
      <c r="CQ9" t="e">
        <f>AND('Fungi &amp; Lichen'!O18,"AAAAAH/cH14=")</f>
        <v>#VALUE!</v>
      </c>
      <c r="CR9" t="e">
        <f>AND('Fungi &amp; Lichen'!P18,"AAAAAH/cH18=")</f>
        <v>#VALUE!</v>
      </c>
      <c r="CS9" t="e">
        <f>AND('Fungi &amp; Lichen'!Q18,"AAAAAH/cH2A=")</f>
        <v>#VALUE!</v>
      </c>
      <c r="CT9" t="e">
        <f>AND('Fungi &amp; Lichen'!R18,"AAAAAH/cH2E=")</f>
        <v>#VALUE!</v>
      </c>
      <c r="CU9" t="e">
        <f>AND('Fungi &amp; Lichen'!S18,"AAAAAH/cH2I=")</f>
        <v>#VALUE!</v>
      </c>
      <c r="CV9" t="e">
        <f>AND('Fungi &amp; Lichen'!T18,"AAAAAH/cH2M=")</f>
        <v>#VALUE!</v>
      </c>
      <c r="CW9" t="e">
        <f>AND('Fungi &amp; Lichen'!U18,"AAAAAH/cH2Q=")</f>
        <v>#VALUE!</v>
      </c>
      <c r="CX9" t="e">
        <f>AND('Fungi &amp; Lichen'!V18,"AAAAAH/cH2U=")</f>
        <v>#VALUE!</v>
      </c>
      <c r="CY9">
        <f>IF('Fungi &amp; Lichen'!19:19,"AAAAAH/cH2Y=",0)</f>
        <v>0</v>
      </c>
      <c r="CZ9" t="e">
        <f>AND('Fungi &amp; Lichen'!A19,"AAAAAH/cH2c=")</f>
        <v>#VALUE!</v>
      </c>
      <c r="DA9" t="e">
        <f>AND('Fungi &amp; Lichen'!B19,"AAAAAH/cH2g=")</f>
        <v>#VALUE!</v>
      </c>
      <c r="DB9" t="e">
        <f>AND('Fungi &amp; Lichen'!C19,"AAAAAH/cH2k=")</f>
        <v>#VALUE!</v>
      </c>
      <c r="DC9" t="e">
        <f>AND('Fungi &amp; Lichen'!D19,"AAAAAH/cH2o=")</f>
        <v>#VALUE!</v>
      </c>
      <c r="DD9" t="e">
        <f>AND('Fungi &amp; Lichen'!E19,"AAAAAH/cH2s=")</f>
        <v>#VALUE!</v>
      </c>
      <c r="DE9" t="e">
        <f>AND('Fungi &amp; Lichen'!F19,"AAAAAH/cH2w=")</f>
        <v>#VALUE!</v>
      </c>
      <c r="DF9" t="e">
        <f>AND('Fungi &amp; Lichen'!G19,"AAAAAH/cH20=")</f>
        <v>#VALUE!</v>
      </c>
      <c r="DG9" t="e">
        <f>AND('Fungi &amp; Lichen'!H19,"AAAAAH/cH24=")</f>
        <v>#VALUE!</v>
      </c>
      <c r="DH9" t="e">
        <f>AND('Fungi &amp; Lichen'!I19,"AAAAAH/cH28=")</f>
        <v>#VALUE!</v>
      </c>
      <c r="DI9" t="e">
        <f>AND('Fungi &amp; Lichen'!J19,"AAAAAH/cH3A=")</f>
        <v>#VALUE!</v>
      </c>
      <c r="DJ9" t="e">
        <f>AND('Fungi &amp; Lichen'!K19,"AAAAAH/cH3E=")</f>
        <v>#VALUE!</v>
      </c>
      <c r="DK9" t="e">
        <f>AND('Fungi &amp; Lichen'!L19,"AAAAAH/cH3I=")</f>
        <v>#VALUE!</v>
      </c>
      <c r="DL9" t="e">
        <f>AND('Fungi &amp; Lichen'!M19,"AAAAAH/cH3M=")</f>
        <v>#VALUE!</v>
      </c>
      <c r="DM9" t="e">
        <f>AND('Fungi &amp; Lichen'!N19,"AAAAAH/cH3Q=")</f>
        <v>#VALUE!</v>
      </c>
      <c r="DN9" t="e">
        <f>AND('Fungi &amp; Lichen'!O19,"AAAAAH/cH3U=")</f>
        <v>#VALUE!</v>
      </c>
      <c r="DO9" t="e">
        <f>AND('Fungi &amp; Lichen'!P19,"AAAAAH/cH3Y=")</f>
        <v>#VALUE!</v>
      </c>
      <c r="DP9" t="e">
        <f>AND('Fungi &amp; Lichen'!Q19,"AAAAAH/cH3c=")</f>
        <v>#VALUE!</v>
      </c>
      <c r="DQ9" t="e">
        <f>AND('Fungi &amp; Lichen'!R19,"AAAAAH/cH3g=")</f>
        <v>#VALUE!</v>
      </c>
      <c r="DR9" t="e">
        <f>AND('Fungi &amp; Lichen'!S19,"AAAAAH/cH3k=")</f>
        <v>#VALUE!</v>
      </c>
      <c r="DS9" t="e">
        <f>AND('Fungi &amp; Lichen'!T19,"AAAAAH/cH3o=")</f>
        <v>#VALUE!</v>
      </c>
      <c r="DT9" t="e">
        <f>AND('Fungi &amp; Lichen'!U19,"AAAAAH/cH3s=")</f>
        <v>#VALUE!</v>
      </c>
      <c r="DU9" t="e">
        <f>AND('Fungi &amp; Lichen'!V19,"AAAAAH/cH3w=")</f>
        <v>#VALUE!</v>
      </c>
      <c r="DV9">
        <f>IF('Fungi &amp; Lichen'!20:20,"AAAAAH/cH30=",0)</f>
        <v>0</v>
      </c>
      <c r="DW9" t="e">
        <f>AND('Fungi &amp; Lichen'!A20,"AAAAAH/cH34=")</f>
        <v>#VALUE!</v>
      </c>
      <c r="DX9" t="e">
        <f>AND('Fungi &amp; Lichen'!B20,"AAAAAH/cH38=")</f>
        <v>#VALUE!</v>
      </c>
      <c r="DY9" t="e">
        <f>AND('Fungi &amp; Lichen'!C20,"AAAAAH/cH4A=")</f>
        <v>#VALUE!</v>
      </c>
      <c r="DZ9" t="e">
        <f>AND('Fungi &amp; Lichen'!D20,"AAAAAH/cH4E=")</f>
        <v>#VALUE!</v>
      </c>
      <c r="EA9" t="e">
        <f>AND('Fungi &amp; Lichen'!E20,"AAAAAH/cH4I=")</f>
        <v>#VALUE!</v>
      </c>
      <c r="EB9" t="e">
        <f>AND('Fungi &amp; Lichen'!F20,"AAAAAH/cH4M=")</f>
        <v>#VALUE!</v>
      </c>
      <c r="EC9" t="e">
        <f>AND('Fungi &amp; Lichen'!G20,"AAAAAH/cH4Q=")</f>
        <v>#VALUE!</v>
      </c>
      <c r="ED9" t="e">
        <f>AND('Fungi &amp; Lichen'!H20,"AAAAAH/cH4U=")</f>
        <v>#VALUE!</v>
      </c>
      <c r="EE9" t="e">
        <f>AND('Fungi &amp; Lichen'!I20,"AAAAAH/cH4Y=")</f>
        <v>#VALUE!</v>
      </c>
      <c r="EF9" t="e">
        <f>AND('Fungi &amp; Lichen'!J20,"AAAAAH/cH4c=")</f>
        <v>#VALUE!</v>
      </c>
      <c r="EG9" t="e">
        <f>AND('Fungi &amp; Lichen'!K20,"AAAAAH/cH4g=")</f>
        <v>#VALUE!</v>
      </c>
      <c r="EH9" t="e">
        <f>AND('Fungi &amp; Lichen'!L20,"AAAAAH/cH4k=")</f>
        <v>#VALUE!</v>
      </c>
      <c r="EI9" t="e">
        <f>AND('Fungi &amp; Lichen'!M20,"AAAAAH/cH4o=")</f>
        <v>#VALUE!</v>
      </c>
      <c r="EJ9" t="e">
        <f>AND('Fungi &amp; Lichen'!N20,"AAAAAH/cH4s=")</f>
        <v>#VALUE!</v>
      </c>
      <c r="EK9" t="e">
        <f>AND('Fungi &amp; Lichen'!O20,"AAAAAH/cH4w=")</f>
        <v>#VALUE!</v>
      </c>
      <c r="EL9" t="e">
        <f>AND('Fungi &amp; Lichen'!P20,"AAAAAH/cH40=")</f>
        <v>#VALUE!</v>
      </c>
      <c r="EM9" t="e">
        <f>AND('Fungi &amp; Lichen'!Q20,"AAAAAH/cH44=")</f>
        <v>#VALUE!</v>
      </c>
      <c r="EN9" t="e">
        <f>AND('Fungi &amp; Lichen'!R20,"AAAAAH/cH48=")</f>
        <v>#VALUE!</v>
      </c>
      <c r="EO9" t="e">
        <f>AND('Fungi &amp; Lichen'!S20,"AAAAAH/cH5A=")</f>
        <v>#VALUE!</v>
      </c>
      <c r="EP9" t="e">
        <f>AND('Fungi &amp; Lichen'!T20,"AAAAAH/cH5E=")</f>
        <v>#VALUE!</v>
      </c>
      <c r="EQ9" t="e">
        <f>AND('Fungi &amp; Lichen'!U20,"AAAAAH/cH5I=")</f>
        <v>#VALUE!</v>
      </c>
      <c r="ER9" t="e">
        <f>AND('Fungi &amp; Lichen'!V20,"AAAAAH/cH5M=")</f>
        <v>#VALUE!</v>
      </c>
      <c r="ES9">
        <f>IF('Fungi &amp; Lichen'!21:21,"AAAAAH/cH5Q=",0)</f>
        <v>0</v>
      </c>
      <c r="ET9" t="e">
        <f>AND('Fungi &amp; Lichen'!A21,"AAAAAH/cH5U=")</f>
        <v>#VALUE!</v>
      </c>
      <c r="EU9" t="e">
        <f>AND('Fungi &amp; Lichen'!B21,"AAAAAH/cH5Y=")</f>
        <v>#VALUE!</v>
      </c>
      <c r="EV9" t="e">
        <f>AND('Fungi &amp; Lichen'!C21,"AAAAAH/cH5c=")</f>
        <v>#VALUE!</v>
      </c>
      <c r="EW9" t="e">
        <f>AND('Fungi &amp; Lichen'!D21,"AAAAAH/cH5g=")</f>
        <v>#VALUE!</v>
      </c>
      <c r="EX9" t="e">
        <f>AND('Fungi &amp; Lichen'!E21,"AAAAAH/cH5k=")</f>
        <v>#VALUE!</v>
      </c>
      <c r="EY9" t="e">
        <f>AND('Fungi &amp; Lichen'!F21,"AAAAAH/cH5o=")</f>
        <v>#VALUE!</v>
      </c>
      <c r="EZ9" t="e">
        <f>AND('Fungi &amp; Lichen'!G21,"AAAAAH/cH5s=")</f>
        <v>#VALUE!</v>
      </c>
      <c r="FA9" t="e">
        <f>AND('Fungi &amp; Lichen'!H21,"AAAAAH/cH5w=")</f>
        <v>#VALUE!</v>
      </c>
      <c r="FB9" t="e">
        <f>AND('Fungi &amp; Lichen'!I21,"AAAAAH/cH50=")</f>
        <v>#VALUE!</v>
      </c>
      <c r="FC9" t="e">
        <f>AND('Fungi &amp; Lichen'!J21,"AAAAAH/cH54=")</f>
        <v>#VALUE!</v>
      </c>
      <c r="FD9" t="e">
        <f>AND('Fungi &amp; Lichen'!K21,"AAAAAH/cH58=")</f>
        <v>#VALUE!</v>
      </c>
      <c r="FE9" t="e">
        <f>AND('Fungi &amp; Lichen'!L21,"AAAAAH/cH6A=")</f>
        <v>#VALUE!</v>
      </c>
      <c r="FF9" t="e">
        <f>AND('Fungi &amp; Lichen'!M21,"AAAAAH/cH6E=")</f>
        <v>#VALUE!</v>
      </c>
      <c r="FG9" t="e">
        <f>AND('Fungi &amp; Lichen'!N21,"AAAAAH/cH6I=")</f>
        <v>#VALUE!</v>
      </c>
      <c r="FH9" t="e">
        <f>AND('Fungi &amp; Lichen'!O21,"AAAAAH/cH6M=")</f>
        <v>#VALUE!</v>
      </c>
      <c r="FI9" t="e">
        <f>AND('Fungi &amp; Lichen'!P21,"AAAAAH/cH6Q=")</f>
        <v>#VALUE!</v>
      </c>
      <c r="FJ9" t="e">
        <f>AND('Fungi &amp; Lichen'!Q21,"AAAAAH/cH6U=")</f>
        <v>#VALUE!</v>
      </c>
      <c r="FK9" t="e">
        <f>AND('Fungi &amp; Lichen'!R21,"AAAAAH/cH6Y=")</f>
        <v>#VALUE!</v>
      </c>
      <c r="FL9" t="e">
        <f>AND('Fungi &amp; Lichen'!S21,"AAAAAH/cH6c=")</f>
        <v>#VALUE!</v>
      </c>
      <c r="FM9" t="e">
        <f>AND('Fungi &amp; Lichen'!T21,"AAAAAH/cH6g=")</f>
        <v>#VALUE!</v>
      </c>
      <c r="FN9" t="e">
        <f>AND('Fungi &amp; Lichen'!U21,"AAAAAH/cH6k=")</f>
        <v>#VALUE!</v>
      </c>
      <c r="FO9" t="e">
        <f>AND('Fungi &amp; Lichen'!V21,"AAAAAH/cH6o=")</f>
        <v>#VALUE!</v>
      </c>
      <c r="FP9">
        <f>IF('Fungi &amp; Lichen'!22:22,"AAAAAH/cH6s=",0)</f>
        <v>0</v>
      </c>
      <c r="FQ9" t="e">
        <f>AND('Fungi &amp; Lichen'!A22,"AAAAAH/cH6w=")</f>
        <v>#VALUE!</v>
      </c>
      <c r="FR9" t="e">
        <f>AND('Fungi &amp; Lichen'!B22,"AAAAAH/cH60=")</f>
        <v>#VALUE!</v>
      </c>
      <c r="FS9" t="e">
        <f>AND('Fungi &amp; Lichen'!C22,"AAAAAH/cH64=")</f>
        <v>#VALUE!</v>
      </c>
      <c r="FT9" t="e">
        <f>AND('Fungi &amp; Lichen'!D22,"AAAAAH/cH68=")</f>
        <v>#VALUE!</v>
      </c>
      <c r="FU9" t="e">
        <f>AND('Fungi &amp; Lichen'!E22,"AAAAAH/cH7A=")</f>
        <v>#VALUE!</v>
      </c>
      <c r="FV9" t="e">
        <f>AND('Fungi &amp; Lichen'!F22,"AAAAAH/cH7E=")</f>
        <v>#VALUE!</v>
      </c>
      <c r="FW9" t="e">
        <f>AND('Fungi &amp; Lichen'!G22,"AAAAAH/cH7I=")</f>
        <v>#VALUE!</v>
      </c>
      <c r="FX9" t="e">
        <f>AND('Fungi &amp; Lichen'!H22,"AAAAAH/cH7M=")</f>
        <v>#VALUE!</v>
      </c>
      <c r="FY9" t="e">
        <f>AND('Fungi &amp; Lichen'!I22,"AAAAAH/cH7Q=")</f>
        <v>#VALUE!</v>
      </c>
      <c r="FZ9" t="e">
        <f>AND('Fungi &amp; Lichen'!J22,"AAAAAH/cH7U=")</f>
        <v>#VALUE!</v>
      </c>
      <c r="GA9" t="e">
        <f>AND('Fungi &amp; Lichen'!K22,"AAAAAH/cH7Y=")</f>
        <v>#VALUE!</v>
      </c>
      <c r="GB9" t="e">
        <f>AND('Fungi &amp; Lichen'!L22,"AAAAAH/cH7c=")</f>
        <v>#VALUE!</v>
      </c>
      <c r="GC9" t="e">
        <f>AND('Fungi &amp; Lichen'!M22,"AAAAAH/cH7g=")</f>
        <v>#VALUE!</v>
      </c>
      <c r="GD9" t="e">
        <f>AND('Fungi &amp; Lichen'!N22,"AAAAAH/cH7k=")</f>
        <v>#VALUE!</v>
      </c>
      <c r="GE9" t="e">
        <f>AND('Fungi &amp; Lichen'!O22,"AAAAAH/cH7o=")</f>
        <v>#VALUE!</v>
      </c>
      <c r="GF9" t="e">
        <f>AND('Fungi &amp; Lichen'!P22,"AAAAAH/cH7s=")</f>
        <v>#VALUE!</v>
      </c>
      <c r="GG9" t="e">
        <f>AND('Fungi &amp; Lichen'!Q22,"AAAAAH/cH7w=")</f>
        <v>#VALUE!</v>
      </c>
      <c r="GH9" t="e">
        <f>AND('Fungi &amp; Lichen'!R22,"AAAAAH/cH70=")</f>
        <v>#VALUE!</v>
      </c>
      <c r="GI9" t="e">
        <f>AND('Fungi &amp; Lichen'!S22,"AAAAAH/cH74=")</f>
        <v>#VALUE!</v>
      </c>
      <c r="GJ9" t="e">
        <f>AND('Fungi &amp; Lichen'!T22,"AAAAAH/cH78=")</f>
        <v>#VALUE!</v>
      </c>
      <c r="GK9" t="e">
        <f>AND('Fungi &amp; Lichen'!U22,"AAAAAH/cH8A=")</f>
        <v>#VALUE!</v>
      </c>
      <c r="GL9" t="e">
        <f>AND('Fungi &amp; Lichen'!V22,"AAAAAH/cH8E=")</f>
        <v>#VALUE!</v>
      </c>
      <c r="GM9">
        <f>IF('Fungi &amp; Lichen'!23:23,"AAAAAH/cH8I=",0)</f>
        <v>0</v>
      </c>
      <c r="GN9" t="e">
        <f>AND('Fungi &amp; Lichen'!A23,"AAAAAH/cH8M=")</f>
        <v>#VALUE!</v>
      </c>
      <c r="GO9" t="e">
        <f>AND('Fungi &amp; Lichen'!B23,"AAAAAH/cH8Q=")</f>
        <v>#VALUE!</v>
      </c>
      <c r="GP9" t="e">
        <f>AND('Fungi &amp; Lichen'!C23,"AAAAAH/cH8U=")</f>
        <v>#VALUE!</v>
      </c>
      <c r="GQ9" t="e">
        <f>AND('Fungi &amp; Lichen'!D23,"AAAAAH/cH8Y=")</f>
        <v>#VALUE!</v>
      </c>
      <c r="GR9" t="e">
        <f>AND('Fungi &amp; Lichen'!E23,"AAAAAH/cH8c=")</f>
        <v>#VALUE!</v>
      </c>
      <c r="GS9" t="e">
        <f>AND('Fungi &amp; Lichen'!F23,"AAAAAH/cH8g=")</f>
        <v>#VALUE!</v>
      </c>
      <c r="GT9" t="e">
        <f>AND('Fungi &amp; Lichen'!G23,"AAAAAH/cH8k=")</f>
        <v>#VALUE!</v>
      </c>
      <c r="GU9" t="e">
        <f>AND('Fungi &amp; Lichen'!H23,"AAAAAH/cH8o=")</f>
        <v>#VALUE!</v>
      </c>
      <c r="GV9" t="e">
        <f>AND('Fungi &amp; Lichen'!I23,"AAAAAH/cH8s=")</f>
        <v>#VALUE!</v>
      </c>
      <c r="GW9" t="e">
        <f>AND('Fungi &amp; Lichen'!J23,"AAAAAH/cH8w=")</f>
        <v>#VALUE!</v>
      </c>
      <c r="GX9" t="e">
        <f>AND('Fungi &amp; Lichen'!K23,"AAAAAH/cH80=")</f>
        <v>#VALUE!</v>
      </c>
      <c r="GY9" t="e">
        <f>AND('Fungi &amp; Lichen'!L23,"AAAAAH/cH84=")</f>
        <v>#VALUE!</v>
      </c>
      <c r="GZ9" t="e">
        <f>AND('Fungi &amp; Lichen'!M23,"AAAAAH/cH88=")</f>
        <v>#VALUE!</v>
      </c>
      <c r="HA9" t="e">
        <f>AND('Fungi &amp; Lichen'!N23,"AAAAAH/cH9A=")</f>
        <v>#VALUE!</v>
      </c>
      <c r="HB9" t="e">
        <f>AND('Fungi &amp; Lichen'!O23,"AAAAAH/cH9E=")</f>
        <v>#VALUE!</v>
      </c>
      <c r="HC9" t="e">
        <f>AND('Fungi &amp; Lichen'!P23,"AAAAAH/cH9I=")</f>
        <v>#VALUE!</v>
      </c>
      <c r="HD9" t="e">
        <f>AND('Fungi &amp; Lichen'!Q23,"AAAAAH/cH9M=")</f>
        <v>#VALUE!</v>
      </c>
      <c r="HE9" t="e">
        <f>AND('Fungi &amp; Lichen'!R23,"AAAAAH/cH9Q=")</f>
        <v>#VALUE!</v>
      </c>
      <c r="HF9" t="e">
        <f>AND('Fungi &amp; Lichen'!S23,"AAAAAH/cH9U=")</f>
        <v>#VALUE!</v>
      </c>
      <c r="HG9" t="e">
        <f>AND('Fungi &amp; Lichen'!T23,"AAAAAH/cH9Y=")</f>
        <v>#VALUE!</v>
      </c>
      <c r="HH9" t="e">
        <f>AND('Fungi &amp; Lichen'!U23,"AAAAAH/cH9c=")</f>
        <v>#VALUE!</v>
      </c>
      <c r="HI9" t="e">
        <f>AND('Fungi &amp; Lichen'!V23,"AAAAAH/cH9g=")</f>
        <v>#VALUE!</v>
      </c>
      <c r="HJ9">
        <f>IF('Fungi &amp; Lichen'!24:24,"AAAAAH/cH9k=",0)</f>
        <v>0</v>
      </c>
      <c r="HK9" t="e">
        <f>AND('Fungi &amp; Lichen'!A24,"AAAAAH/cH9o=")</f>
        <v>#VALUE!</v>
      </c>
      <c r="HL9" t="e">
        <f>AND('Fungi &amp; Lichen'!B24,"AAAAAH/cH9s=")</f>
        <v>#VALUE!</v>
      </c>
      <c r="HM9" t="e">
        <f>AND('Fungi &amp; Lichen'!C24,"AAAAAH/cH9w=")</f>
        <v>#VALUE!</v>
      </c>
      <c r="HN9" t="e">
        <f>AND('Fungi &amp; Lichen'!D24,"AAAAAH/cH90=")</f>
        <v>#VALUE!</v>
      </c>
      <c r="HO9" t="e">
        <f>AND('Fungi &amp; Lichen'!E24,"AAAAAH/cH94=")</f>
        <v>#VALUE!</v>
      </c>
      <c r="HP9" t="e">
        <f>AND('Fungi &amp; Lichen'!F24,"AAAAAH/cH98=")</f>
        <v>#VALUE!</v>
      </c>
      <c r="HQ9" t="e">
        <f>AND('Fungi &amp; Lichen'!G24,"AAAAAH/cH+A=")</f>
        <v>#VALUE!</v>
      </c>
      <c r="HR9" t="e">
        <f>AND('Fungi &amp; Lichen'!H24,"AAAAAH/cH+E=")</f>
        <v>#VALUE!</v>
      </c>
      <c r="HS9" t="e">
        <f>AND('Fungi &amp; Lichen'!I24,"AAAAAH/cH+I=")</f>
        <v>#VALUE!</v>
      </c>
      <c r="HT9" t="e">
        <f>AND('Fungi &amp; Lichen'!J24,"AAAAAH/cH+M=")</f>
        <v>#VALUE!</v>
      </c>
      <c r="HU9" t="e">
        <f>AND('Fungi &amp; Lichen'!K24,"AAAAAH/cH+Q=")</f>
        <v>#VALUE!</v>
      </c>
      <c r="HV9" t="e">
        <f>AND('Fungi &amp; Lichen'!L24,"AAAAAH/cH+U=")</f>
        <v>#VALUE!</v>
      </c>
      <c r="HW9" t="e">
        <f>AND('Fungi &amp; Lichen'!M24,"AAAAAH/cH+Y=")</f>
        <v>#VALUE!</v>
      </c>
      <c r="HX9" t="e">
        <f>AND('Fungi &amp; Lichen'!N24,"AAAAAH/cH+c=")</f>
        <v>#VALUE!</v>
      </c>
      <c r="HY9" t="e">
        <f>AND('Fungi &amp; Lichen'!O24,"AAAAAH/cH+g=")</f>
        <v>#VALUE!</v>
      </c>
      <c r="HZ9" t="e">
        <f>AND('Fungi &amp; Lichen'!P24,"AAAAAH/cH+k=")</f>
        <v>#VALUE!</v>
      </c>
      <c r="IA9" t="e">
        <f>AND('Fungi &amp; Lichen'!Q24,"AAAAAH/cH+o=")</f>
        <v>#VALUE!</v>
      </c>
      <c r="IB9" t="e">
        <f>AND('Fungi &amp; Lichen'!R24,"AAAAAH/cH+s=")</f>
        <v>#VALUE!</v>
      </c>
      <c r="IC9" t="e">
        <f>AND('Fungi &amp; Lichen'!S24,"AAAAAH/cH+w=")</f>
        <v>#VALUE!</v>
      </c>
      <c r="ID9" t="e">
        <f>AND('Fungi &amp; Lichen'!T24,"AAAAAH/cH+0=")</f>
        <v>#VALUE!</v>
      </c>
      <c r="IE9" t="e">
        <f>AND('Fungi &amp; Lichen'!U24,"AAAAAH/cH+4=")</f>
        <v>#VALUE!</v>
      </c>
      <c r="IF9" t="e">
        <f>AND('Fungi &amp; Lichen'!V24,"AAAAAH/cH+8=")</f>
        <v>#VALUE!</v>
      </c>
      <c r="IG9">
        <f>IF('Fungi &amp; Lichen'!25:25,"AAAAAH/cH/A=",0)</f>
        <v>0</v>
      </c>
      <c r="IH9" t="e">
        <f>AND('Fungi &amp; Lichen'!A25,"AAAAAH/cH/E=")</f>
        <v>#VALUE!</v>
      </c>
      <c r="II9" t="e">
        <f>AND('Fungi &amp; Lichen'!B25,"AAAAAH/cH/I=")</f>
        <v>#VALUE!</v>
      </c>
      <c r="IJ9" t="e">
        <f>AND('Fungi &amp; Lichen'!C25,"AAAAAH/cH/M=")</f>
        <v>#VALUE!</v>
      </c>
      <c r="IK9" t="e">
        <f>AND('Fungi &amp; Lichen'!D25,"AAAAAH/cH/Q=")</f>
        <v>#VALUE!</v>
      </c>
      <c r="IL9" t="e">
        <f>AND('Fungi &amp; Lichen'!E25,"AAAAAH/cH/U=")</f>
        <v>#VALUE!</v>
      </c>
      <c r="IM9" t="e">
        <f>AND('Fungi &amp; Lichen'!F25,"AAAAAH/cH/Y=")</f>
        <v>#VALUE!</v>
      </c>
      <c r="IN9" t="e">
        <f>AND('Fungi &amp; Lichen'!G25,"AAAAAH/cH/c=")</f>
        <v>#VALUE!</v>
      </c>
      <c r="IO9" t="e">
        <f>AND('Fungi &amp; Lichen'!H25,"AAAAAH/cH/g=")</f>
        <v>#VALUE!</v>
      </c>
      <c r="IP9" t="e">
        <f>AND('Fungi &amp; Lichen'!I25,"AAAAAH/cH/k=")</f>
        <v>#VALUE!</v>
      </c>
      <c r="IQ9" t="e">
        <f>AND('Fungi &amp; Lichen'!J25,"AAAAAH/cH/o=")</f>
        <v>#VALUE!</v>
      </c>
      <c r="IR9" t="e">
        <f>AND('Fungi &amp; Lichen'!K25,"AAAAAH/cH/s=")</f>
        <v>#VALUE!</v>
      </c>
      <c r="IS9" t="e">
        <f>AND('Fungi &amp; Lichen'!L25,"AAAAAH/cH/w=")</f>
        <v>#VALUE!</v>
      </c>
      <c r="IT9" t="e">
        <f>AND('Fungi &amp; Lichen'!M25,"AAAAAH/cH/0=")</f>
        <v>#VALUE!</v>
      </c>
      <c r="IU9" t="e">
        <f>AND('Fungi &amp; Lichen'!N25,"AAAAAH/cH/4=")</f>
        <v>#VALUE!</v>
      </c>
      <c r="IV9" t="e">
        <f>AND('Fungi &amp; Lichen'!O25,"AAAAAH/cH/8=")</f>
        <v>#VALUE!</v>
      </c>
    </row>
    <row r="10" spans="1:256">
      <c r="A10" t="e">
        <f>AND('Fungi &amp; Lichen'!P25,"AAAAAHLf5wA=")</f>
        <v>#VALUE!</v>
      </c>
      <c r="B10" t="e">
        <f>AND('Fungi &amp; Lichen'!Q25,"AAAAAHLf5wE=")</f>
        <v>#VALUE!</v>
      </c>
      <c r="C10" t="e">
        <f>AND('Fungi &amp; Lichen'!R25,"AAAAAHLf5wI=")</f>
        <v>#VALUE!</v>
      </c>
      <c r="D10" t="e">
        <f>AND('Fungi &amp; Lichen'!S25,"AAAAAHLf5wM=")</f>
        <v>#VALUE!</v>
      </c>
      <c r="E10" t="e">
        <f>AND('Fungi &amp; Lichen'!T25,"AAAAAHLf5wQ=")</f>
        <v>#VALUE!</v>
      </c>
      <c r="F10" t="e">
        <f>AND('Fungi &amp; Lichen'!U25,"AAAAAHLf5wU=")</f>
        <v>#VALUE!</v>
      </c>
      <c r="G10" t="e">
        <f>AND('Fungi &amp; Lichen'!V25,"AAAAAHLf5wY=")</f>
        <v>#VALUE!</v>
      </c>
      <c r="H10" t="e">
        <f>IF('Fungi &amp; Lichen'!26:26,"AAAAAHLf5wc=",0)</f>
        <v>#VALUE!</v>
      </c>
      <c r="I10" t="e">
        <f>AND('Fungi &amp; Lichen'!A26,"AAAAAHLf5wg=")</f>
        <v>#VALUE!</v>
      </c>
      <c r="J10" t="e">
        <f>AND('Fungi &amp; Lichen'!B26,"AAAAAHLf5wk=")</f>
        <v>#VALUE!</v>
      </c>
      <c r="K10" t="e">
        <f>AND('Fungi &amp; Lichen'!C26,"AAAAAHLf5wo=")</f>
        <v>#VALUE!</v>
      </c>
      <c r="L10" t="e">
        <f>AND('Fungi &amp; Lichen'!D26,"AAAAAHLf5ws=")</f>
        <v>#VALUE!</v>
      </c>
      <c r="M10" t="e">
        <f>AND('Fungi &amp; Lichen'!E26,"AAAAAHLf5ww=")</f>
        <v>#VALUE!</v>
      </c>
      <c r="N10" t="e">
        <f>AND('Fungi &amp; Lichen'!F26,"AAAAAHLf5w0=")</f>
        <v>#VALUE!</v>
      </c>
      <c r="O10" t="e">
        <f>AND('Fungi &amp; Lichen'!G26,"AAAAAHLf5w4=")</f>
        <v>#VALUE!</v>
      </c>
      <c r="P10" t="e">
        <f>AND('Fungi &amp; Lichen'!H26,"AAAAAHLf5w8=")</f>
        <v>#VALUE!</v>
      </c>
      <c r="Q10" t="e">
        <f>AND('Fungi &amp; Lichen'!I26,"AAAAAHLf5xA=")</f>
        <v>#VALUE!</v>
      </c>
      <c r="R10" t="e">
        <f>AND('Fungi &amp; Lichen'!J26,"AAAAAHLf5xE=")</f>
        <v>#VALUE!</v>
      </c>
      <c r="S10" t="e">
        <f>AND('Fungi &amp; Lichen'!K26,"AAAAAHLf5xI=")</f>
        <v>#VALUE!</v>
      </c>
      <c r="T10" t="e">
        <f>AND('Fungi &amp; Lichen'!L26,"AAAAAHLf5xM=")</f>
        <v>#VALUE!</v>
      </c>
      <c r="U10" t="e">
        <f>AND('Fungi &amp; Lichen'!M26,"AAAAAHLf5xQ=")</f>
        <v>#VALUE!</v>
      </c>
      <c r="V10" t="e">
        <f>AND('Fungi &amp; Lichen'!N26,"AAAAAHLf5xU=")</f>
        <v>#VALUE!</v>
      </c>
      <c r="W10" t="e">
        <f>AND('Fungi &amp; Lichen'!O26,"AAAAAHLf5xY=")</f>
        <v>#VALUE!</v>
      </c>
      <c r="X10" t="e">
        <f>AND('Fungi &amp; Lichen'!P26,"AAAAAHLf5xc=")</f>
        <v>#VALUE!</v>
      </c>
      <c r="Y10" t="e">
        <f>AND('Fungi &amp; Lichen'!Q26,"AAAAAHLf5xg=")</f>
        <v>#VALUE!</v>
      </c>
      <c r="Z10" t="e">
        <f>AND('Fungi &amp; Lichen'!R26,"AAAAAHLf5xk=")</f>
        <v>#VALUE!</v>
      </c>
      <c r="AA10" t="e">
        <f>AND('Fungi &amp; Lichen'!S26,"AAAAAHLf5xo=")</f>
        <v>#VALUE!</v>
      </c>
      <c r="AB10" t="e">
        <f>AND('Fungi &amp; Lichen'!T26,"AAAAAHLf5xs=")</f>
        <v>#VALUE!</v>
      </c>
      <c r="AC10" t="e">
        <f>AND('Fungi &amp; Lichen'!U26,"AAAAAHLf5xw=")</f>
        <v>#VALUE!</v>
      </c>
      <c r="AD10" t="e">
        <f>AND('Fungi &amp; Lichen'!V26,"AAAAAHLf5x0=")</f>
        <v>#VALUE!</v>
      </c>
      <c r="AE10">
        <f>IF('Fungi &amp; Lichen'!27:27,"AAAAAHLf5x4=",0)</f>
        <v>0</v>
      </c>
      <c r="AF10" t="e">
        <f>AND('Fungi &amp; Lichen'!A27,"AAAAAHLf5x8=")</f>
        <v>#VALUE!</v>
      </c>
      <c r="AG10" t="e">
        <f>AND('Fungi &amp; Lichen'!B27,"AAAAAHLf5yA=")</f>
        <v>#VALUE!</v>
      </c>
      <c r="AH10" t="e">
        <f>AND('Fungi &amp; Lichen'!C27,"AAAAAHLf5yE=")</f>
        <v>#VALUE!</v>
      </c>
      <c r="AI10" t="e">
        <f>AND('Fungi &amp; Lichen'!D27,"AAAAAHLf5yI=")</f>
        <v>#VALUE!</v>
      </c>
      <c r="AJ10" t="e">
        <f>AND('Fungi &amp; Lichen'!E27,"AAAAAHLf5yM=")</f>
        <v>#VALUE!</v>
      </c>
      <c r="AK10" t="e">
        <f>AND('Fungi &amp; Lichen'!F27,"AAAAAHLf5yQ=")</f>
        <v>#VALUE!</v>
      </c>
      <c r="AL10" t="e">
        <f>AND('Fungi &amp; Lichen'!G27,"AAAAAHLf5yU=")</f>
        <v>#VALUE!</v>
      </c>
      <c r="AM10" t="e">
        <f>AND('Fungi &amp; Lichen'!H27,"AAAAAHLf5yY=")</f>
        <v>#VALUE!</v>
      </c>
      <c r="AN10" t="e">
        <f>AND('Fungi &amp; Lichen'!I27,"AAAAAHLf5yc=")</f>
        <v>#VALUE!</v>
      </c>
      <c r="AO10" t="e">
        <f>AND('Fungi &amp; Lichen'!J27,"AAAAAHLf5yg=")</f>
        <v>#VALUE!</v>
      </c>
      <c r="AP10" t="e">
        <f>AND('Fungi &amp; Lichen'!K27,"AAAAAHLf5yk=")</f>
        <v>#VALUE!</v>
      </c>
      <c r="AQ10" t="e">
        <f>AND('Fungi &amp; Lichen'!L27,"AAAAAHLf5yo=")</f>
        <v>#VALUE!</v>
      </c>
      <c r="AR10" t="e">
        <f>AND('Fungi &amp; Lichen'!M27,"AAAAAHLf5ys=")</f>
        <v>#VALUE!</v>
      </c>
      <c r="AS10" t="e">
        <f>AND('Fungi &amp; Lichen'!N27,"AAAAAHLf5yw=")</f>
        <v>#VALUE!</v>
      </c>
      <c r="AT10" t="e">
        <f>AND('Fungi &amp; Lichen'!O27,"AAAAAHLf5y0=")</f>
        <v>#VALUE!</v>
      </c>
      <c r="AU10" t="e">
        <f>AND('Fungi &amp; Lichen'!P27,"AAAAAHLf5y4=")</f>
        <v>#VALUE!</v>
      </c>
      <c r="AV10" t="e">
        <f>AND('Fungi &amp; Lichen'!Q27,"AAAAAHLf5y8=")</f>
        <v>#VALUE!</v>
      </c>
      <c r="AW10" t="e">
        <f>AND('Fungi &amp; Lichen'!R27,"AAAAAHLf5zA=")</f>
        <v>#VALUE!</v>
      </c>
      <c r="AX10" t="e">
        <f>AND('Fungi &amp; Lichen'!S27,"AAAAAHLf5zE=")</f>
        <v>#VALUE!</v>
      </c>
      <c r="AY10" t="e">
        <f>AND('Fungi &amp; Lichen'!T27,"AAAAAHLf5zI=")</f>
        <v>#VALUE!</v>
      </c>
      <c r="AZ10" t="e">
        <f>AND('Fungi &amp; Lichen'!U27,"AAAAAHLf5zM=")</f>
        <v>#VALUE!</v>
      </c>
      <c r="BA10" t="e">
        <f>AND('Fungi &amp; Lichen'!V27,"AAAAAHLf5zQ=")</f>
        <v>#VALUE!</v>
      </c>
      <c r="BB10">
        <f>IF('Fungi &amp; Lichen'!28:28,"AAAAAHLf5zU=",0)</f>
        <v>0</v>
      </c>
      <c r="BC10" t="e">
        <f>AND('Fungi &amp; Lichen'!A28,"AAAAAHLf5zY=")</f>
        <v>#VALUE!</v>
      </c>
      <c r="BD10" t="e">
        <f>AND('Fungi &amp; Lichen'!B28,"AAAAAHLf5zc=")</f>
        <v>#VALUE!</v>
      </c>
      <c r="BE10" t="e">
        <f>AND('Fungi &amp; Lichen'!C28,"AAAAAHLf5zg=")</f>
        <v>#VALUE!</v>
      </c>
      <c r="BF10" t="e">
        <f>AND('Fungi &amp; Lichen'!D28,"AAAAAHLf5zk=")</f>
        <v>#VALUE!</v>
      </c>
      <c r="BG10" t="e">
        <f>AND('Fungi &amp; Lichen'!E28,"AAAAAHLf5zo=")</f>
        <v>#VALUE!</v>
      </c>
      <c r="BH10" t="e">
        <f>AND('Fungi &amp; Lichen'!F28,"AAAAAHLf5zs=")</f>
        <v>#VALUE!</v>
      </c>
      <c r="BI10" t="e">
        <f>AND('Fungi &amp; Lichen'!G28,"AAAAAHLf5zw=")</f>
        <v>#VALUE!</v>
      </c>
      <c r="BJ10" t="e">
        <f>AND('Fungi &amp; Lichen'!H28,"AAAAAHLf5z0=")</f>
        <v>#VALUE!</v>
      </c>
      <c r="BK10" t="e">
        <f>AND('Fungi &amp; Lichen'!I28,"AAAAAHLf5z4=")</f>
        <v>#VALUE!</v>
      </c>
      <c r="BL10" t="e">
        <f>AND('Fungi &amp; Lichen'!J28,"AAAAAHLf5z8=")</f>
        <v>#VALUE!</v>
      </c>
      <c r="BM10" t="e">
        <f>AND('Fungi &amp; Lichen'!K28,"AAAAAHLf50A=")</f>
        <v>#VALUE!</v>
      </c>
      <c r="BN10" t="e">
        <f>AND('Fungi &amp; Lichen'!L28,"AAAAAHLf50E=")</f>
        <v>#VALUE!</v>
      </c>
      <c r="BO10" t="e">
        <f>AND('Fungi &amp; Lichen'!M28,"AAAAAHLf50I=")</f>
        <v>#VALUE!</v>
      </c>
      <c r="BP10" t="e">
        <f>AND('Fungi &amp; Lichen'!N28,"AAAAAHLf50M=")</f>
        <v>#VALUE!</v>
      </c>
      <c r="BQ10" t="e">
        <f>AND('Fungi &amp; Lichen'!O28,"AAAAAHLf50Q=")</f>
        <v>#VALUE!</v>
      </c>
      <c r="BR10" t="e">
        <f>AND('Fungi &amp; Lichen'!P28,"AAAAAHLf50U=")</f>
        <v>#VALUE!</v>
      </c>
      <c r="BS10" t="e">
        <f>AND('Fungi &amp; Lichen'!Q28,"AAAAAHLf50Y=")</f>
        <v>#VALUE!</v>
      </c>
      <c r="BT10" t="e">
        <f>AND('Fungi &amp; Lichen'!R28,"AAAAAHLf50c=")</f>
        <v>#VALUE!</v>
      </c>
      <c r="BU10" t="e">
        <f>AND('Fungi &amp; Lichen'!S28,"AAAAAHLf50g=")</f>
        <v>#VALUE!</v>
      </c>
      <c r="BV10" t="e">
        <f>AND('Fungi &amp; Lichen'!T28,"AAAAAHLf50k=")</f>
        <v>#VALUE!</v>
      </c>
      <c r="BW10" t="e">
        <f>AND('Fungi &amp; Lichen'!U28,"AAAAAHLf50o=")</f>
        <v>#VALUE!</v>
      </c>
      <c r="BX10" t="e">
        <f>AND('Fungi &amp; Lichen'!V28,"AAAAAHLf50s=")</f>
        <v>#VALUE!</v>
      </c>
      <c r="BY10">
        <f>IF('Fungi &amp; Lichen'!29:29,"AAAAAHLf50w=",0)</f>
        <v>0</v>
      </c>
      <c r="BZ10" t="e">
        <f>AND('Fungi &amp; Lichen'!A29,"AAAAAHLf500=")</f>
        <v>#VALUE!</v>
      </c>
      <c r="CA10" t="e">
        <f>AND('Fungi &amp; Lichen'!B29,"AAAAAHLf504=")</f>
        <v>#VALUE!</v>
      </c>
      <c r="CB10" t="e">
        <f>AND('Fungi &amp; Lichen'!C29,"AAAAAHLf508=")</f>
        <v>#VALUE!</v>
      </c>
      <c r="CC10" t="e">
        <f>AND('Fungi &amp; Lichen'!D29,"AAAAAHLf51A=")</f>
        <v>#VALUE!</v>
      </c>
      <c r="CD10" t="e">
        <f>AND('Fungi &amp; Lichen'!E29,"AAAAAHLf51E=")</f>
        <v>#VALUE!</v>
      </c>
      <c r="CE10" t="e">
        <f>AND('Fungi &amp; Lichen'!F29,"AAAAAHLf51I=")</f>
        <v>#VALUE!</v>
      </c>
      <c r="CF10" t="e">
        <f>AND('Fungi &amp; Lichen'!G29,"AAAAAHLf51M=")</f>
        <v>#VALUE!</v>
      </c>
      <c r="CG10" t="e">
        <f>AND('Fungi &amp; Lichen'!H29,"AAAAAHLf51Q=")</f>
        <v>#VALUE!</v>
      </c>
      <c r="CH10" t="e">
        <f>AND('Fungi &amp; Lichen'!I29,"AAAAAHLf51U=")</f>
        <v>#VALUE!</v>
      </c>
      <c r="CI10" t="e">
        <f>AND('Fungi &amp; Lichen'!J29,"AAAAAHLf51Y=")</f>
        <v>#VALUE!</v>
      </c>
      <c r="CJ10" t="e">
        <f>AND('Fungi &amp; Lichen'!K29,"AAAAAHLf51c=")</f>
        <v>#VALUE!</v>
      </c>
      <c r="CK10" t="e">
        <f>AND('Fungi &amp; Lichen'!L29,"AAAAAHLf51g=")</f>
        <v>#VALUE!</v>
      </c>
      <c r="CL10" t="e">
        <f>AND('Fungi &amp; Lichen'!M29,"AAAAAHLf51k=")</f>
        <v>#VALUE!</v>
      </c>
      <c r="CM10" t="e">
        <f>AND('Fungi &amp; Lichen'!N29,"AAAAAHLf51o=")</f>
        <v>#VALUE!</v>
      </c>
      <c r="CN10" t="e">
        <f>AND('Fungi &amp; Lichen'!O29,"AAAAAHLf51s=")</f>
        <v>#VALUE!</v>
      </c>
      <c r="CO10" t="e">
        <f>AND('Fungi &amp; Lichen'!P29,"AAAAAHLf51w=")</f>
        <v>#VALUE!</v>
      </c>
      <c r="CP10" t="e">
        <f>AND('Fungi &amp; Lichen'!Q29,"AAAAAHLf510=")</f>
        <v>#VALUE!</v>
      </c>
      <c r="CQ10" t="e">
        <f>AND('Fungi &amp; Lichen'!R29,"AAAAAHLf514=")</f>
        <v>#VALUE!</v>
      </c>
      <c r="CR10" t="e">
        <f>AND('Fungi &amp; Lichen'!S29,"AAAAAHLf518=")</f>
        <v>#VALUE!</v>
      </c>
      <c r="CS10" t="e">
        <f>AND('Fungi &amp; Lichen'!T29,"AAAAAHLf52A=")</f>
        <v>#VALUE!</v>
      </c>
      <c r="CT10" t="e">
        <f>AND('Fungi &amp; Lichen'!U29,"AAAAAHLf52E=")</f>
        <v>#VALUE!</v>
      </c>
      <c r="CU10" t="e">
        <f>AND('Fungi &amp; Lichen'!V29,"AAAAAHLf52I=")</f>
        <v>#VALUE!</v>
      </c>
      <c r="CV10">
        <f>IF('Fungi &amp; Lichen'!30:30,"AAAAAHLf52M=",0)</f>
        <v>0</v>
      </c>
      <c r="CW10" t="e">
        <f>AND('Fungi &amp; Lichen'!A30,"AAAAAHLf52Q=")</f>
        <v>#VALUE!</v>
      </c>
      <c r="CX10" t="e">
        <f>AND('Fungi &amp; Lichen'!B30,"AAAAAHLf52U=")</f>
        <v>#VALUE!</v>
      </c>
      <c r="CY10" t="e">
        <f>AND('Fungi &amp; Lichen'!C30,"AAAAAHLf52Y=")</f>
        <v>#VALUE!</v>
      </c>
      <c r="CZ10" t="e">
        <f>AND('Fungi &amp; Lichen'!D30,"AAAAAHLf52c=")</f>
        <v>#VALUE!</v>
      </c>
      <c r="DA10" t="e">
        <f>AND('Fungi &amp; Lichen'!E30,"AAAAAHLf52g=")</f>
        <v>#VALUE!</v>
      </c>
      <c r="DB10" t="e">
        <f>AND('Fungi &amp; Lichen'!F30,"AAAAAHLf52k=")</f>
        <v>#VALUE!</v>
      </c>
      <c r="DC10" t="e">
        <f>AND('Fungi &amp; Lichen'!G30,"AAAAAHLf52o=")</f>
        <v>#VALUE!</v>
      </c>
      <c r="DD10" t="e">
        <f>AND('Fungi &amp; Lichen'!H30,"AAAAAHLf52s=")</f>
        <v>#VALUE!</v>
      </c>
      <c r="DE10" t="e">
        <f>AND('Fungi &amp; Lichen'!I30,"AAAAAHLf52w=")</f>
        <v>#VALUE!</v>
      </c>
      <c r="DF10" t="e">
        <f>AND('Fungi &amp; Lichen'!J30,"AAAAAHLf520=")</f>
        <v>#VALUE!</v>
      </c>
      <c r="DG10" t="e">
        <f>AND('Fungi &amp; Lichen'!K30,"AAAAAHLf524=")</f>
        <v>#VALUE!</v>
      </c>
      <c r="DH10" t="e">
        <f>AND('Fungi &amp; Lichen'!L30,"AAAAAHLf528=")</f>
        <v>#VALUE!</v>
      </c>
      <c r="DI10" t="e">
        <f>AND('Fungi &amp; Lichen'!M30,"AAAAAHLf53A=")</f>
        <v>#VALUE!</v>
      </c>
      <c r="DJ10" t="e">
        <f>AND('Fungi &amp; Lichen'!N30,"AAAAAHLf53E=")</f>
        <v>#VALUE!</v>
      </c>
      <c r="DK10" t="e">
        <f>AND('Fungi &amp; Lichen'!O30,"AAAAAHLf53I=")</f>
        <v>#VALUE!</v>
      </c>
      <c r="DL10" t="e">
        <f>AND('Fungi &amp; Lichen'!P30,"AAAAAHLf53M=")</f>
        <v>#VALUE!</v>
      </c>
      <c r="DM10" t="e">
        <f>AND('Fungi &amp; Lichen'!Q30,"AAAAAHLf53Q=")</f>
        <v>#VALUE!</v>
      </c>
      <c r="DN10" t="e">
        <f>AND('Fungi &amp; Lichen'!R30,"AAAAAHLf53U=")</f>
        <v>#VALUE!</v>
      </c>
      <c r="DO10" t="e">
        <f>AND('Fungi &amp; Lichen'!S30,"AAAAAHLf53Y=")</f>
        <v>#VALUE!</v>
      </c>
      <c r="DP10" t="e">
        <f>AND('Fungi &amp; Lichen'!T30,"AAAAAHLf53c=")</f>
        <v>#VALUE!</v>
      </c>
      <c r="DQ10" t="e">
        <f>AND('Fungi &amp; Lichen'!U30,"AAAAAHLf53g=")</f>
        <v>#VALUE!</v>
      </c>
      <c r="DR10" t="e">
        <f>AND('Fungi &amp; Lichen'!V30,"AAAAAHLf53k=")</f>
        <v>#VALUE!</v>
      </c>
      <c r="DS10">
        <f>IF('Fungi &amp; Lichen'!31:31,"AAAAAHLf53o=",0)</f>
        <v>0</v>
      </c>
      <c r="DT10" t="e">
        <f>AND('Fungi &amp; Lichen'!A31,"AAAAAHLf53s=")</f>
        <v>#VALUE!</v>
      </c>
      <c r="DU10" t="e">
        <f>AND('Fungi &amp; Lichen'!B31,"AAAAAHLf53w=")</f>
        <v>#VALUE!</v>
      </c>
      <c r="DV10" t="e">
        <f>AND('Fungi &amp; Lichen'!C31,"AAAAAHLf530=")</f>
        <v>#VALUE!</v>
      </c>
      <c r="DW10" t="e">
        <f>AND('Fungi &amp; Lichen'!D31,"AAAAAHLf534=")</f>
        <v>#VALUE!</v>
      </c>
      <c r="DX10" t="e">
        <f>AND('Fungi &amp; Lichen'!E31,"AAAAAHLf538=")</f>
        <v>#VALUE!</v>
      </c>
      <c r="DY10" t="e">
        <f>AND('Fungi &amp; Lichen'!F31,"AAAAAHLf54A=")</f>
        <v>#VALUE!</v>
      </c>
      <c r="DZ10" t="e">
        <f>AND('Fungi &amp; Lichen'!G31,"AAAAAHLf54E=")</f>
        <v>#VALUE!</v>
      </c>
      <c r="EA10" t="e">
        <f>AND('Fungi &amp; Lichen'!H31,"AAAAAHLf54I=")</f>
        <v>#VALUE!</v>
      </c>
      <c r="EB10" t="e">
        <f>AND('Fungi &amp; Lichen'!I31,"AAAAAHLf54M=")</f>
        <v>#VALUE!</v>
      </c>
      <c r="EC10" t="e">
        <f>AND('Fungi &amp; Lichen'!J31,"AAAAAHLf54Q=")</f>
        <v>#VALUE!</v>
      </c>
      <c r="ED10" t="e">
        <f>AND('Fungi &amp; Lichen'!K31,"AAAAAHLf54U=")</f>
        <v>#VALUE!</v>
      </c>
      <c r="EE10" t="e">
        <f>AND('Fungi &amp; Lichen'!L31,"AAAAAHLf54Y=")</f>
        <v>#VALUE!</v>
      </c>
      <c r="EF10" t="e">
        <f>AND('Fungi &amp; Lichen'!M31,"AAAAAHLf54c=")</f>
        <v>#VALUE!</v>
      </c>
      <c r="EG10" t="e">
        <f>AND('Fungi &amp; Lichen'!N31,"AAAAAHLf54g=")</f>
        <v>#VALUE!</v>
      </c>
      <c r="EH10" t="e">
        <f>AND('Fungi &amp; Lichen'!O31,"AAAAAHLf54k=")</f>
        <v>#VALUE!</v>
      </c>
      <c r="EI10" t="e">
        <f>AND('Fungi &amp; Lichen'!P31,"AAAAAHLf54o=")</f>
        <v>#VALUE!</v>
      </c>
      <c r="EJ10" t="e">
        <f>AND('Fungi &amp; Lichen'!Q31,"AAAAAHLf54s=")</f>
        <v>#VALUE!</v>
      </c>
      <c r="EK10" t="e">
        <f>AND('Fungi &amp; Lichen'!R31,"AAAAAHLf54w=")</f>
        <v>#VALUE!</v>
      </c>
      <c r="EL10" t="e">
        <f>AND('Fungi &amp; Lichen'!S31,"AAAAAHLf540=")</f>
        <v>#VALUE!</v>
      </c>
      <c r="EM10" t="e">
        <f>AND('Fungi &amp; Lichen'!T31,"AAAAAHLf544=")</f>
        <v>#VALUE!</v>
      </c>
      <c r="EN10" t="e">
        <f>AND('Fungi &amp; Lichen'!U31,"AAAAAHLf548=")</f>
        <v>#VALUE!</v>
      </c>
      <c r="EO10" t="e">
        <f>AND('Fungi &amp; Lichen'!V31,"AAAAAHLf55A=")</f>
        <v>#VALUE!</v>
      </c>
      <c r="EP10">
        <f>IF('Fungi &amp; Lichen'!32:32,"AAAAAHLf55E=",0)</f>
        <v>0</v>
      </c>
      <c r="EQ10" t="e">
        <f>AND('Fungi &amp; Lichen'!A32,"AAAAAHLf55I=")</f>
        <v>#VALUE!</v>
      </c>
      <c r="ER10" t="e">
        <f>AND('Fungi &amp; Lichen'!B32,"AAAAAHLf55M=")</f>
        <v>#VALUE!</v>
      </c>
      <c r="ES10" t="e">
        <f>AND('Fungi &amp; Lichen'!C32,"AAAAAHLf55Q=")</f>
        <v>#VALUE!</v>
      </c>
      <c r="ET10" t="e">
        <f>AND('Fungi &amp; Lichen'!D32,"AAAAAHLf55U=")</f>
        <v>#VALUE!</v>
      </c>
      <c r="EU10" t="e">
        <f>AND('Fungi &amp; Lichen'!E32,"AAAAAHLf55Y=")</f>
        <v>#VALUE!</v>
      </c>
      <c r="EV10" t="e">
        <f>AND('Fungi &amp; Lichen'!F32,"AAAAAHLf55c=")</f>
        <v>#VALUE!</v>
      </c>
      <c r="EW10" t="e">
        <f>AND('Fungi &amp; Lichen'!G32,"AAAAAHLf55g=")</f>
        <v>#VALUE!</v>
      </c>
      <c r="EX10" t="e">
        <f>AND('Fungi &amp; Lichen'!H32,"AAAAAHLf55k=")</f>
        <v>#VALUE!</v>
      </c>
      <c r="EY10" t="e">
        <f>AND('Fungi &amp; Lichen'!I32,"AAAAAHLf55o=")</f>
        <v>#VALUE!</v>
      </c>
      <c r="EZ10" t="e">
        <f>AND('Fungi &amp; Lichen'!J32,"AAAAAHLf55s=")</f>
        <v>#VALUE!</v>
      </c>
      <c r="FA10" t="e">
        <f>AND('Fungi &amp; Lichen'!K32,"AAAAAHLf55w=")</f>
        <v>#VALUE!</v>
      </c>
      <c r="FB10" t="e">
        <f>AND('Fungi &amp; Lichen'!L32,"AAAAAHLf550=")</f>
        <v>#VALUE!</v>
      </c>
      <c r="FC10" t="e">
        <f>AND('Fungi &amp; Lichen'!M32,"AAAAAHLf554=")</f>
        <v>#VALUE!</v>
      </c>
      <c r="FD10" t="e">
        <f>AND('Fungi &amp; Lichen'!N32,"AAAAAHLf558=")</f>
        <v>#VALUE!</v>
      </c>
      <c r="FE10" t="e">
        <f>AND('Fungi &amp; Lichen'!O32,"AAAAAHLf56A=")</f>
        <v>#VALUE!</v>
      </c>
      <c r="FF10" t="e">
        <f>AND('Fungi &amp; Lichen'!P32,"AAAAAHLf56E=")</f>
        <v>#VALUE!</v>
      </c>
      <c r="FG10" t="e">
        <f>AND('Fungi &amp; Lichen'!Q32,"AAAAAHLf56I=")</f>
        <v>#VALUE!</v>
      </c>
      <c r="FH10" t="e">
        <f>AND('Fungi &amp; Lichen'!R32,"AAAAAHLf56M=")</f>
        <v>#VALUE!</v>
      </c>
      <c r="FI10" t="e">
        <f>AND('Fungi &amp; Lichen'!S32,"AAAAAHLf56Q=")</f>
        <v>#VALUE!</v>
      </c>
      <c r="FJ10" t="e">
        <f>AND('Fungi &amp; Lichen'!T32,"AAAAAHLf56U=")</f>
        <v>#VALUE!</v>
      </c>
      <c r="FK10" t="e">
        <f>AND('Fungi &amp; Lichen'!U32,"AAAAAHLf56Y=")</f>
        <v>#VALUE!</v>
      </c>
      <c r="FL10" t="e">
        <f>AND('Fungi &amp; Lichen'!V32,"AAAAAHLf56c=")</f>
        <v>#VALUE!</v>
      </c>
      <c r="FM10">
        <f>IF('Fungi &amp; Lichen'!33:33,"AAAAAHLf56g=",0)</f>
        <v>0</v>
      </c>
      <c r="FN10" t="e">
        <f>AND('Fungi &amp; Lichen'!A33,"AAAAAHLf56k=")</f>
        <v>#VALUE!</v>
      </c>
      <c r="FO10" t="e">
        <f>AND('Fungi &amp; Lichen'!B33,"AAAAAHLf56o=")</f>
        <v>#VALUE!</v>
      </c>
      <c r="FP10" t="e">
        <f>AND('Fungi &amp; Lichen'!C33,"AAAAAHLf56s=")</f>
        <v>#VALUE!</v>
      </c>
      <c r="FQ10" t="e">
        <f>AND('Fungi &amp; Lichen'!D33,"AAAAAHLf56w=")</f>
        <v>#VALUE!</v>
      </c>
      <c r="FR10" t="e">
        <f>AND('Fungi &amp; Lichen'!E33,"AAAAAHLf560=")</f>
        <v>#VALUE!</v>
      </c>
      <c r="FS10" t="e">
        <f>AND('Fungi &amp; Lichen'!F33,"AAAAAHLf564=")</f>
        <v>#VALUE!</v>
      </c>
      <c r="FT10" t="e">
        <f>AND('Fungi &amp; Lichen'!G33,"AAAAAHLf568=")</f>
        <v>#VALUE!</v>
      </c>
      <c r="FU10" t="e">
        <f>AND('Fungi &amp; Lichen'!H33,"AAAAAHLf57A=")</f>
        <v>#VALUE!</v>
      </c>
      <c r="FV10" t="e">
        <f>AND('Fungi &amp; Lichen'!I33,"AAAAAHLf57E=")</f>
        <v>#VALUE!</v>
      </c>
      <c r="FW10" t="e">
        <f>AND('Fungi &amp; Lichen'!J33,"AAAAAHLf57I=")</f>
        <v>#VALUE!</v>
      </c>
      <c r="FX10" t="e">
        <f>AND('Fungi &amp; Lichen'!K33,"AAAAAHLf57M=")</f>
        <v>#VALUE!</v>
      </c>
      <c r="FY10" t="e">
        <f>AND('Fungi &amp; Lichen'!L33,"AAAAAHLf57Q=")</f>
        <v>#VALUE!</v>
      </c>
      <c r="FZ10" t="e">
        <f>AND('Fungi &amp; Lichen'!M33,"AAAAAHLf57U=")</f>
        <v>#VALUE!</v>
      </c>
      <c r="GA10" t="e">
        <f>AND('Fungi &amp; Lichen'!N33,"AAAAAHLf57Y=")</f>
        <v>#VALUE!</v>
      </c>
      <c r="GB10" t="e">
        <f>AND('Fungi &amp; Lichen'!O33,"AAAAAHLf57c=")</f>
        <v>#VALUE!</v>
      </c>
      <c r="GC10" t="e">
        <f>AND('Fungi &amp; Lichen'!P33,"AAAAAHLf57g=")</f>
        <v>#VALUE!</v>
      </c>
      <c r="GD10" t="e">
        <f>AND('Fungi &amp; Lichen'!Q33,"AAAAAHLf57k=")</f>
        <v>#VALUE!</v>
      </c>
      <c r="GE10" t="e">
        <f>AND('Fungi &amp; Lichen'!R33,"AAAAAHLf57o=")</f>
        <v>#VALUE!</v>
      </c>
      <c r="GF10" t="e">
        <f>AND('Fungi &amp; Lichen'!S33,"AAAAAHLf57s=")</f>
        <v>#VALUE!</v>
      </c>
      <c r="GG10" t="e">
        <f>AND('Fungi &amp; Lichen'!T33,"AAAAAHLf57w=")</f>
        <v>#VALUE!</v>
      </c>
      <c r="GH10" t="e">
        <f>AND('Fungi &amp; Lichen'!U33,"AAAAAHLf570=")</f>
        <v>#VALUE!</v>
      </c>
      <c r="GI10" t="e">
        <f>AND('Fungi &amp; Lichen'!V33,"AAAAAHLf574=")</f>
        <v>#VALUE!</v>
      </c>
      <c r="GJ10">
        <f>IF('Fungi &amp; Lichen'!34:34,"AAAAAHLf578=",0)</f>
        <v>0</v>
      </c>
      <c r="GK10" t="e">
        <f>AND('Fungi &amp; Lichen'!A34,"AAAAAHLf58A=")</f>
        <v>#VALUE!</v>
      </c>
      <c r="GL10" t="e">
        <f>AND('Fungi &amp; Lichen'!B34,"AAAAAHLf58E=")</f>
        <v>#VALUE!</v>
      </c>
      <c r="GM10" t="e">
        <f>AND('Fungi &amp; Lichen'!C34,"AAAAAHLf58I=")</f>
        <v>#VALUE!</v>
      </c>
      <c r="GN10" t="e">
        <f>AND('Fungi &amp; Lichen'!D34,"AAAAAHLf58M=")</f>
        <v>#VALUE!</v>
      </c>
      <c r="GO10" t="e">
        <f>AND('Fungi &amp; Lichen'!E34,"AAAAAHLf58Q=")</f>
        <v>#VALUE!</v>
      </c>
      <c r="GP10" t="e">
        <f>AND('Fungi &amp; Lichen'!F34,"AAAAAHLf58U=")</f>
        <v>#VALUE!</v>
      </c>
      <c r="GQ10" t="e">
        <f>AND('Fungi &amp; Lichen'!G34,"AAAAAHLf58Y=")</f>
        <v>#VALUE!</v>
      </c>
      <c r="GR10" t="e">
        <f>AND('Fungi &amp; Lichen'!H34,"AAAAAHLf58c=")</f>
        <v>#VALUE!</v>
      </c>
      <c r="GS10" t="e">
        <f>AND('Fungi &amp; Lichen'!I34,"AAAAAHLf58g=")</f>
        <v>#VALUE!</v>
      </c>
      <c r="GT10" t="e">
        <f>AND('Fungi &amp; Lichen'!J34,"AAAAAHLf58k=")</f>
        <v>#VALUE!</v>
      </c>
      <c r="GU10" t="e">
        <f>AND('Fungi &amp; Lichen'!K34,"AAAAAHLf58o=")</f>
        <v>#VALUE!</v>
      </c>
      <c r="GV10" t="e">
        <f>AND('Fungi &amp; Lichen'!L34,"AAAAAHLf58s=")</f>
        <v>#VALUE!</v>
      </c>
      <c r="GW10" t="e">
        <f>AND('Fungi &amp; Lichen'!M34,"AAAAAHLf58w=")</f>
        <v>#VALUE!</v>
      </c>
      <c r="GX10" t="e">
        <f>AND('Fungi &amp; Lichen'!N34,"AAAAAHLf580=")</f>
        <v>#VALUE!</v>
      </c>
      <c r="GY10" t="e">
        <f>AND('Fungi &amp; Lichen'!O34,"AAAAAHLf584=")</f>
        <v>#VALUE!</v>
      </c>
      <c r="GZ10" t="e">
        <f>AND('Fungi &amp; Lichen'!P34,"AAAAAHLf588=")</f>
        <v>#VALUE!</v>
      </c>
      <c r="HA10" t="e">
        <f>AND('Fungi &amp; Lichen'!Q34,"AAAAAHLf59A=")</f>
        <v>#VALUE!</v>
      </c>
      <c r="HB10" t="e">
        <f>AND('Fungi &amp; Lichen'!R34,"AAAAAHLf59E=")</f>
        <v>#VALUE!</v>
      </c>
      <c r="HC10" t="e">
        <f>AND('Fungi &amp; Lichen'!S34,"AAAAAHLf59I=")</f>
        <v>#VALUE!</v>
      </c>
      <c r="HD10" t="e">
        <f>AND('Fungi &amp; Lichen'!T34,"AAAAAHLf59M=")</f>
        <v>#VALUE!</v>
      </c>
      <c r="HE10" t="e">
        <f>AND('Fungi &amp; Lichen'!U34,"AAAAAHLf59Q=")</f>
        <v>#VALUE!</v>
      </c>
      <c r="HF10" t="e">
        <f>AND('Fungi &amp; Lichen'!V34,"AAAAAHLf59U=")</f>
        <v>#VALUE!</v>
      </c>
      <c r="HG10">
        <f>IF('Fungi &amp; Lichen'!35:35,"AAAAAHLf59Y=",0)</f>
        <v>0</v>
      </c>
      <c r="HH10" t="e">
        <f>AND('Fungi &amp; Lichen'!A35,"AAAAAHLf59c=")</f>
        <v>#VALUE!</v>
      </c>
      <c r="HI10" t="e">
        <f>AND('Fungi &amp; Lichen'!B35,"AAAAAHLf59g=")</f>
        <v>#VALUE!</v>
      </c>
      <c r="HJ10" t="e">
        <f>AND('Fungi &amp; Lichen'!C35,"AAAAAHLf59k=")</f>
        <v>#VALUE!</v>
      </c>
      <c r="HK10" t="e">
        <f>AND('Fungi &amp; Lichen'!D35,"AAAAAHLf59o=")</f>
        <v>#VALUE!</v>
      </c>
      <c r="HL10" t="e">
        <f>AND('Fungi &amp; Lichen'!E35,"AAAAAHLf59s=")</f>
        <v>#VALUE!</v>
      </c>
      <c r="HM10" t="e">
        <f>AND('Fungi &amp; Lichen'!F35,"AAAAAHLf59w=")</f>
        <v>#VALUE!</v>
      </c>
      <c r="HN10" t="e">
        <f>AND('Fungi &amp; Lichen'!G35,"AAAAAHLf590=")</f>
        <v>#VALUE!</v>
      </c>
      <c r="HO10" t="e">
        <f>AND('Fungi &amp; Lichen'!H35,"AAAAAHLf594=")</f>
        <v>#VALUE!</v>
      </c>
      <c r="HP10" t="e">
        <f>AND('Fungi &amp; Lichen'!I35,"AAAAAHLf598=")</f>
        <v>#VALUE!</v>
      </c>
      <c r="HQ10" t="e">
        <f>AND('Fungi &amp; Lichen'!J35,"AAAAAHLf5+A=")</f>
        <v>#VALUE!</v>
      </c>
      <c r="HR10" t="e">
        <f>AND('Fungi &amp; Lichen'!K35,"AAAAAHLf5+E=")</f>
        <v>#VALUE!</v>
      </c>
      <c r="HS10" t="e">
        <f>AND('Fungi &amp; Lichen'!L35,"AAAAAHLf5+I=")</f>
        <v>#VALUE!</v>
      </c>
      <c r="HT10" t="e">
        <f>AND('Fungi &amp; Lichen'!M35,"AAAAAHLf5+M=")</f>
        <v>#VALUE!</v>
      </c>
      <c r="HU10" t="e">
        <f>AND('Fungi &amp; Lichen'!N35,"AAAAAHLf5+Q=")</f>
        <v>#VALUE!</v>
      </c>
      <c r="HV10" t="e">
        <f>AND('Fungi &amp; Lichen'!O35,"AAAAAHLf5+U=")</f>
        <v>#VALUE!</v>
      </c>
      <c r="HW10" t="e">
        <f>AND('Fungi &amp; Lichen'!P35,"AAAAAHLf5+Y=")</f>
        <v>#VALUE!</v>
      </c>
      <c r="HX10" t="e">
        <f>AND('Fungi &amp; Lichen'!Q35,"AAAAAHLf5+c=")</f>
        <v>#VALUE!</v>
      </c>
      <c r="HY10" t="e">
        <f>AND('Fungi &amp; Lichen'!R35,"AAAAAHLf5+g=")</f>
        <v>#VALUE!</v>
      </c>
      <c r="HZ10" t="e">
        <f>AND('Fungi &amp; Lichen'!S35,"AAAAAHLf5+k=")</f>
        <v>#VALUE!</v>
      </c>
      <c r="IA10" t="e">
        <f>AND('Fungi &amp; Lichen'!T35,"AAAAAHLf5+o=")</f>
        <v>#VALUE!</v>
      </c>
      <c r="IB10" t="e">
        <f>AND('Fungi &amp; Lichen'!U35,"AAAAAHLf5+s=")</f>
        <v>#VALUE!</v>
      </c>
      <c r="IC10" t="e">
        <f>AND('Fungi &amp; Lichen'!V35,"AAAAAHLf5+w=")</f>
        <v>#VALUE!</v>
      </c>
      <c r="ID10">
        <f>IF('Fungi &amp; Lichen'!36:36,"AAAAAHLf5+0=",0)</f>
        <v>0</v>
      </c>
      <c r="IE10" t="e">
        <f>AND('Fungi &amp; Lichen'!A36,"AAAAAHLf5+4=")</f>
        <v>#VALUE!</v>
      </c>
      <c r="IF10" t="e">
        <f>AND('Fungi &amp; Lichen'!B36,"AAAAAHLf5+8=")</f>
        <v>#VALUE!</v>
      </c>
      <c r="IG10" t="e">
        <f>AND('Fungi &amp; Lichen'!C36,"AAAAAHLf5/A=")</f>
        <v>#VALUE!</v>
      </c>
      <c r="IH10" t="e">
        <f>AND('Fungi &amp; Lichen'!D36,"AAAAAHLf5/E=")</f>
        <v>#VALUE!</v>
      </c>
      <c r="II10" t="e">
        <f>AND('Fungi &amp; Lichen'!E36,"AAAAAHLf5/I=")</f>
        <v>#VALUE!</v>
      </c>
      <c r="IJ10" t="e">
        <f>AND('Fungi &amp; Lichen'!F36,"AAAAAHLf5/M=")</f>
        <v>#VALUE!</v>
      </c>
      <c r="IK10" t="e">
        <f>AND('Fungi &amp; Lichen'!G36,"AAAAAHLf5/Q=")</f>
        <v>#VALUE!</v>
      </c>
      <c r="IL10" t="e">
        <f>AND('Fungi &amp; Lichen'!H36,"AAAAAHLf5/U=")</f>
        <v>#VALUE!</v>
      </c>
      <c r="IM10" t="e">
        <f>AND('Fungi &amp; Lichen'!I36,"AAAAAHLf5/Y=")</f>
        <v>#VALUE!</v>
      </c>
      <c r="IN10" t="e">
        <f>AND('Fungi &amp; Lichen'!J36,"AAAAAHLf5/c=")</f>
        <v>#VALUE!</v>
      </c>
      <c r="IO10" t="e">
        <f>AND('Fungi &amp; Lichen'!K36,"AAAAAHLf5/g=")</f>
        <v>#VALUE!</v>
      </c>
      <c r="IP10" t="e">
        <f>AND('Fungi &amp; Lichen'!L36,"AAAAAHLf5/k=")</f>
        <v>#VALUE!</v>
      </c>
      <c r="IQ10" t="e">
        <f>AND('Fungi &amp; Lichen'!M36,"AAAAAHLf5/o=")</f>
        <v>#VALUE!</v>
      </c>
      <c r="IR10" t="e">
        <f>AND('Fungi &amp; Lichen'!N36,"AAAAAHLf5/s=")</f>
        <v>#VALUE!</v>
      </c>
      <c r="IS10" t="e">
        <f>AND('Fungi &amp; Lichen'!O36,"AAAAAHLf5/w=")</f>
        <v>#VALUE!</v>
      </c>
      <c r="IT10" t="e">
        <f>AND('Fungi &amp; Lichen'!P36,"AAAAAHLf5/0=")</f>
        <v>#VALUE!</v>
      </c>
      <c r="IU10" t="e">
        <f>AND('Fungi &amp; Lichen'!Q36,"AAAAAHLf5/4=")</f>
        <v>#VALUE!</v>
      </c>
      <c r="IV10" t="e">
        <f>AND('Fungi &amp; Lichen'!R36,"AAAAAHLf5/8=")</f>
        <v>#VALUE!</v>
      </c>
    </row>
    <row r="11" spans="1:256">
      <c r="A11" t="e">
        <f>AND('Fungi &amp; Lichen'!S36,"AAAAAF3rvgA=")</f>
        <v>#VALUE!</v>
      </c>
      <c r="B11" t="e">
        <f>AND('Fungi &amp; Lichen'!T36,"AAAAAF3rvgE=")</f>
        <v>#VALUE!</v>
      </c>
      <c r="C11" t="e">
        <f>AND('Fungi &amp; Lichen'!U36,"AAAAAF3rvgI=")</f>
        <v>#VALUE!</v>
      </c>
      <c r="D11" t="e">
        <f>AND('Fungi &amp; Lichen'!V36,"AAAAAF3rvgM=")</f>
        <v>#VALUE!</v>
      </c>
      <c r="E11">
        <f>IF('Fungi &amp; Lichen'!37:37,"AAAAAF3rvgQ=",0)</f>
        <v>0</v>
      </c>
      <c r="F11" t="e">
        <f>AND('Fungi &amp; Lichen'!A37,"AAAAAF3rvgU=")</f>
        <v>#VALUE!</v>
      </c>
      <c r="G11" t="e">
        <f>AND('Fungi &amp; Lichen'!B37,"AAAAAF3rvgY=")</f>
        <v>#VALUE!</v>
      </c>
      <c r="H11" t="e">
        <f>AND('Fungi &amp; Lichen'!C37,"AAAAAF3rvgc=")</f>
        <v>#VALUE!</v>
      </c>
      <c r="I11" t="e">
        <f>AND('Fungi &amp; Lichen'!D37,"AAAAAF3rvgg=")</f>
        <v>#VALUE!</v>
      </c>
      <c r="J11" t="e">
        <f>AND('Fungi &amp; Lichen'!E37,"AAAAAF3rvgk=")</f>
        <v>#VALUE!</v>
      </c>
      <c r="K11" t="e">
        <f>AND('Fungi &amp; Lichen'!F37,"AAAAAF3rvgo=")</f>
        <v>#VALUE!</v>
      </c>
      <c r="L11" t="e">
        <f>AND('Fungi &amp; Lichen'!G37,"AAAAAF3rvgs=")</f>
        <v>#VALUE!</v>
      </c>
      <c r="M11" t="e">
        <f>AND('Fungi &amp; Lichen'!H37,"AAAAAF3rvgw=")</f>
        <v>#VALUE!</v>
      </c>
      <c r="N11" t="e">
        <f>AND('Fungi &amp; Lichen'!I37,"AAAAAF3rvg0=")</f>
        <v>#VALUE!</v>
      </c>
      <c r="O11" t="e">
        <f>AND('Fungi &amp; Lichen'!J37,"AAAAAF3rvg4=")</f>
        <v>#VALUE!</v>
      </c>
      <c r="P11" t="e">
        <f>AND('Fungi &amp; Lichen'!K37,"AAAAAF3rvg8=")</f>
        <v>#VALUE!</v>
      </c>
      <c r="Q11" t="e">
        <f>AND('Fungi &amp; Lichen'!L37,"AAAAAF3rvhA=")</f>
        <v>#VALUE!</v>
      </c>
      <c r="R11" t="e">
        <f>AND('Fungi &amp; Lichen'!M37,"AAAAAF3rvhE=")</f>
        <v>#VALUE!</v>
      </c>
      <c r="S11" t="e">
        <f>AND('Fungi &amp; Lichen'!N37,"AAAAAF3rvhI=")</f>
        <v>#VALUE!</v>
      </c>
      <c r="T11" t="e">
        <f>AND('Fungi &amp; Lichen'!O37,"AAAAAF3rvhM=")</f>
        <v>#VALUE!</v>
      </c>
      <c r="U11" t="e">
        <f>AND('Fungi &amp; Lichen'!P37,"AAAAAF3rvhQ=")</f>
        <v>#VALUE!</v>
      </c>
      <c r="V11" t="e">
        <f>AND('Fungi &amp; Lichen'!Q37,"AAAAAF3rvhU=")</f>
        <v>#VALUE!</v>
      </c>
      <c r="W11" t="e">
        <f>AND('Fungi &amp; Lichen'!R37,"AAAAAF3rvhY=")</f>
        <v>#VALUE!</v>
      </c>
      <c r="X11" t="e">
        <f>AND('Fungi &amp; Lichen'!S37,"AAAAAF3rvhc=")</f>
        <v>#VALUE!</v>
      </c>
      <c r="Y11" t="e">
        <f>AND('Fungi &amp; Lichen'!T37,"AAAAAF3rvhg=")</f>
        <v>#VALUE!</v>
      </c>
      <c r="Z11" t="e">
        <f>AND('Fungi &amp; Lichen'!U37,"AAAAAF3rvhk=")</f>
        <v>#VALUE!</v>
      </c>
      <c r="AA11" t="e">
        <f>AND('Fungi &amp; Lichen'!V37,"AAAAAF3rvho=")</f>
        <v>#VALUE!</v>
      </c>
      <c r="AB11">
        <f>IF('Fungi &amp; Lichen'!38:38,"AAAAAF3rvhs=",0)</f>
        <v>0</v>
      </c>
      <c r="AC11" t="e">
        <f>AND('Fungi &amp; Lichen'!A38,"AAAAAF3rvhw=")</f>
        <v>#VALUE!</v>
      </c>
      <c r="AD11" t="e">
        <f>AND('Fungi &amp; Lichen'!B38,"AAAAAF3rvh0=")</f>
        <v>#VALUE!</v>
      </c>
      <c r="AE11" t="e">
        <f>AND('Fungi &amp; Lichen'!C38,"AAAAAF3rvh4=")</f>
        <v>#VALUE!</v>
      </c>
      <c r="AF11" t="e">
        <f>AND('Fungi &amp; Lichen'!D38,"AAAAAF3rvh8=")</f>
        <v>#VALUE!</v>
      </c>
      <c r="AG11" t="e">
        <f>AND('Fungi &amp; Lichen'!E38,"AAAAAF3rviA=")</f>
        <v>#VALUE!</v>
      </c>
      <c r="AH11" t="e">
        <f>AND('Fungi &amp; Lichen'!F38,"AAAAAF3rviE=")</f>
        <v>#VALUE!</v>
      </c>
      <c r="AI11" t="e">
        <f>AND('Fungi &amp; Lichen'!G38,"AAAAAF3rviI=")</f>
        <v>#VALUE!</v>
      </c>
      <c r="AJ11" t="e">
        <f>AND('Fungi &amp; Lichen'!H38,"AAAAAF3rviM=")</f>
        <v>#VALUE!</v>
      </c>
      <c r="AK11" t="e">
        <f>AND('Fungi &amp; Lichen'!I38,"AAAAAF3rviQ=")</f>
        <v>#VALUE!</v>
      </c>
      <c r="AL11" t="e">
        <f>AND('Fungi &amp; Lichen'!J38,"AAAAAF3rviU=")</f>
        <v>#VALUE!</v>
      </c>
      <c r="AM11" t="e">
        <f>AND('Fungi &amp; Lichen'!K38,"AAAAAF3rviY=")</f>
        <v>#VALUE!</v>
      </c>
      <c r="AN11" t="e">
        <f>AND('Fungi &amp; Lichen'!L38,"AAAAAF3rvic=")</f>
        <v>#VALUE!</v>
      </c>
      <c r="AO11" t="e">
        <f>AND('Fungi &amp; Lichen'!M38,"AAAAAF3rvig=")</f>
        <v>#VALUE!</v>
      </c>
      <c r="AP11" t="e">
        <f>AND('Fungi &amp; Lichen'!N38,"AAAAAF3rvik=")</f>
        <v>#VALUE!</v>
      </c>
      <c r="AQ11" t="e">
        <f>AND('Fungi &amp; Lichen'!O38,"AAAAAF3rvio=")</f>
        <v>#VALUE!</v>
      </c>
      <c r="AR11" t="e">
        <f>AND('Fungi &amp; Lichen'!P38,"AAAAAF3rvis=")</f>
        <v>#VALUE!</v>
      </c>
      <c r="AS11" t="e">
        <f>AND('Fungi &amp; Lichen'!Q38,"AAAAAF3rviw=")</f>
        <v>#VALUE!</v>
      </c>
      <c r="AT11" t="e">
        <f>AND('Fungi &amp; Lichen'!R38,"AAAAAF3rvi0=")</f>
        <v>#VALUE!</v>
      </c>
      <c r="AU11" t="e">
        <f>AND('Fungi &amp; Lichen'!S38,"AAAAAF3rvi4=")</f>
        <v>#VALUE!</v>
      </c>
      <c r="AV11" t="e">
        <f>AND('Fungi &amp; Lichen'!T38,"AAAAAF3rvi8=")</f>
        <v>#VALUE!</v>
      </c>
      <c r="AW11" t="e">
        <f>AND('Fungi &amp; Lichen'!U38,"AAAAAF3rvjA=")</f>
        <v>#VALUE!</v>
      </c>
      <c r="AX11" t="e">
        <f>AND('Fungi &amp; Lichen'!V38,"AAAAAF3rvjE=")</f>
        <v>#VALUE!</v>
      </c>
      <c r="AY11">
        <f>IF('Fungi &amp; Lichen'!39:39,"AAAAAF3rvjI=",0)</f>
        <v>0</v>
      </c>
      <c r="AZ11" t="e">
        <f>AND('Fungi &amp; Lichen'!A39,"AAAAAF3rvjM=")</f>
        <v>#VALUE!</v>
      </c>
      <c r="BA11" t="e">
        <f>AND('Fungi &amp; Lichen'!B39,"AAAAAF3rvjQ=")</f>
        <v>#VALUE!</v>
      </c>
      <c r="BB11" t="e">
        <f>AND('Fungi &amp; Lichen'!C39,"AAAAAF3rvjU=")</f>
        <v>#VALUE!</v>
      </c>
      <c r="BC11" t="e">
        <f>AND('Fungi &amp; Lichen'!D39,"AAAAAF3rvjY=")</f>
        <v>#VALUE!</v>
      </c>
      <c r="BD11" t="e">
        <f>AND('Fungi &amp; Lichen'!E39,"AAAAAF3rvjc=")</f>
        <v>#VALUE!</v>
      </c>
      <c r="BE11" t="e">
        <f>AND('Fungi &amp; Lichen'!F39,"AAAAAF3rvjg=")</f>
        <v>#VALUE!</v>
      </c>
      <c r="BF11" t="e">
        <f>AND('Fungi &amp; Lichen'!G39,"AAAAAF3rvjk=")</f>
        <v>#VALUE!</v>
      </c>
      <c r="BG11" t="e">
        <f>AND('Fungi &amp; Lichen'!H39,"AAAAAF3rvjo=")</f>
        <v>#VALUE!</v>
      </c>
      <c r="BH11" t="e">
        <f>AND('Fungi &amp; Lichen'!I39,"AAAAAF3rvjs=")</f>
        <v>#VALUE!</v>
      </c>
      <c r="BI11" t="e">
        <f>AND('Fungi &amp; Lichen'!J39,"AAAAAF3rvjw=")</f>
        <v>#VALUE!</v>
      </c>
      <c r="BJ11" t="e">
        <f>AND('Fungi &amp; Lichen'!K39,"AAAAAF3rvj0=")</f>
        <v>#VALUE!</v>
      </c>
      <c r="BK11" t="e">
        <f>AND('Fungi &amp; Lichen'!L39,"AAAAAF3rvj4=")</f>
        <v>#VALUE!</v>
      </c>
      <c r="BL11" t="e">
        <f>AND('Fungi &amp; Lichen'!M39,"AAAAAF3rvj8=")</f>
        <v>#VALUE!</v>
      </c>
      <c r="BM11" t="e">
        <f>AND('Fungi &amp; Lichen'!N39,"AAAAAF3rvkA=")</f>
        <v>#VALUE!</v>
      </c>
      <c r="BN11" t="e">
        <f>AND('Fungi &amp; Lichen'!O39,"AAAAAF3rvkE=")</f>
        <v>#VALUE!</v>
      </c>
      <c r="BO11" t="e">
        <f>AND('Fungi &amp; Lichen'!P39,"AAAAAF3rvkI=")</f>
        <v>#VALUE!</v>
      </c>
      <c r="BP11" t="e">
        <f>AND('Fungi &amp; Lichen'!Q39,"AAAAAF3rvkM=")</f>
        <v>#VALUE!</v>
      </c>
      <c r="BQ11" t="e">
        <f>AND('Fungi &amp; Lichen'!R39,"AAAAAF3rvkQ=")</f>
        <v>#VALUE!</v>
      </c>
      <c r="BR11" t="e">
        <f>AND('Fungi &amp; Lichen'!S39,"AAAAAF3rvkU=")</f>
        <v>#VALUE!</v>
      </c>
      <c r="BS11" t="e">
        <f>AND('Fungi &amp; Lichen'!T39,"AAAAAF3rvkY=")</f>
        <v>#VALUE!</v>
      </c>
      <c r="BT11" t="e">
        <f>AND('Fungi &amp; Lichen'!U39,"AAAAAF3rvkc=")</f>
        <v>#VALUE!</v>
      </c>
      <c r="BU11" t="e">
        <f>AND('Fungi &amp; Lichen'!V39,"AAAAAF3rvkg=")</f>
        <v>#VALUE!</v>
      </c>
      <c r="BV11">
        <f>IF('Fungi &amp; Lichen'!40:40,"AAAAAF3rvkk=",0)</f>
        <v>0</v>
      </c>
      <c r="BW11" t="e">
        <f>AND('Fungi &amp; Lichen'!A40,"AAAAAF3rvko=")</f>
        <v>#VALUE!</v>
      </c>
      <c r="BX11" t="e">
        <f>AND('Fungi &amp; Lichen'!B40,"AAAAAF3rvks=")</f>
        <v>#VALUE!</v>
      </c>
      <c r="BY11" t="e">
        <f>AND('Fungi &amp; Lichen'!C40,"AAAAAF3rvkw=")</f>
        <v>#VALUE!</v>
      </c>
      <c r="BZ11" t="e">
        <f>AND('Fungi &amp; Lichen'!D40,"AAAAAF3rvk0=")</f>
        <v>#VALUE!</v>
      </c>
      <c r="CA11" t="e">
        <f>AND('Fungi &amp; Lichen'!E40,"AAAAAF3rvk4=")</f>
        <v>#VALUE!</v>
      </c>
      <c r="CB11" t="e">
        <f>AND('Fungi &amp; Lichen'!F40,"AAAAAF3rvk8=")</f>
        <v>#VALUE!</v>
      </c>
      <c r="CC11" t="e">
        <f>AND('Fungi &amp; Lichen'!G40,"AAAAAF3rvlA=")</f>
        <v>#VALUE!</v>
      </c>
      <c r="CD11" t="e">
        <f>AND('Fungi &amp; Lichen'!H40,"AAAAAF3rvlE=")</f>
        <v>#VALUE!</v>
      </c>
      <c r="CE11" t="e">
        <f>AND('Fungi &amp; Lichen'!I40,"AAAAAF3rvlI=")</f>
        <v>#VALUE!</v>
      </c>
      <c r="CF11" t="e">
        <f>AND('Fungi &amp; Lichen'!J40,"AAAAAF3rvlM=")</f>
        <v>#VALUE!</v>
      </c>
      <c r="CG11" t="e">
        <f>AND('Fungi &amp; Lichen'!K40,"AAAAAF3rvlQ=")</f>
        <v>#VALUE!</v>
      </c>
      <c r="CH11" t="e">
        <f>AND('Fungi &amp; Lichen'!L40,"AAAAAF3rvlU=")</f>
        <v>#VALUE!</v>
      </c>
      <c r="CI11" t="e">
        <f>AND('Fungi &amp; Lichen'!M40,"AAAAAF3rvlY=")</f>
        <v>#VALUE!</v>
      </c>
      <c r="CJ11" t="e">
        <f>AND('Fungi &amp; Lichen'!N40,"AAAAAF3rvlc=")</f>
        <v>#VALUE!</v>
      </c>
      <c r="CK11" t="e">
        <f>AND('Fungi &amp; Lichen'!O40,"AAAAAF3rvlg=")</f>
        <v>#VALUE!</v>
      </c>
      <c r="CL11" t="e">
        <f>AND('Fungi &amp; Lichen'!P40,"AAAAAF3rvlk=")</f>
        <v>#VALUE!</v>
      </c>
      <c r="CM11" t="e">
        <f>AND('Fungi &amp; Lichen'!Q40,"AAAAAF3rvlo=")</f>
        <v>#VALUE!</v>
      </c>
      <c r="CN11" t="e">
        <f>AND('Fungi &amp; Lichen'!R40,"AAAAAF3rvls=")</f>
        <v>#VALUE!</v>
      </c>
      <c r="CO11" t="e">
        <f>AND('Fungi &amp; Lichen'!S40,"AAAAAF3rvlw=")</f>
        <v>#VALUE!</v>
      </c>
      <c r="CP11" t="e">
        <f>AND('Fungi &amp; Lichen'!T40,"AAAAAF3rvl0=")</f>
        <v>#VALUE!</v>
      </c>
      <c r="CQ11" t="e">
        <f>AND('Fungi &amp; Lichen'!U40,"AAAAAF3rvl4=")</f>
        <v>#VALUE!</v>
      </c>
      <c r="CR11" t="e">
        <f>AND('Fungi &amp; Lichen'!V40,"AAAAAF3rvl8=")</f>
        <v>#VALUE!</v>
      </c>
      <c r="CS11">
        <f>IF('Fungi &amp; Lichen'!41:41,"AAAAAF3rvmA=",0)</f>
        <v>0</v>
      </c>
      <c r="CT11" t="e">
        <f>AND('Fungi &amp; Lichen'!A41,"AAAAAF3rvmE=")</f>
        <v>#VALUE!</v>
      </c>
      <c r="CU11" t="e">
        <f>AND('Fungi &amp; Lichen'!B41,"AAAAAF3rvmI=")</f>
        <v>#VALUE!</v>
      </c>
      <c r="CV11" t="e">
        <f>AND('Fungi &amp; Lichen'!C41,"AAAAAF3rvmM=")</f>
        <v>#VALUE!</v>
      </c>
      <c r="CW11" t="e">
        <f>AND('Fungi &amp; Lichen'!D41,"AAAAAF3rvmQ=")</f>
        <v>#VALUE!</v>
      </c>
      <c r="CX11" t="e">
        <f>AND('Fungi &amp; Lichen'!E41,"AAAAAF3rvmU=")</f>
        <v>#VALUE!</v>
      </c>
      <c r="CY11" t="e">
        <f>AND('Fungi &amp; Lichen'!F41,"AAAAAF3rvmY=")</f>
        <v>#VALUE!</v>
      </c>
      <c r="CZ11" t="e">
        <f>AND('Fungi &amp; Lichen'!G41,"AAAAAF3rvmc=")</f>
        <v>#VALUE!</v>
      </c>
      <c r="DA11" t="e">
        <f>AND('Fungi &amp; Lichen'!H41,"AAAAAF3rvmg=")</f>
        <v>#VALUE!</v>
      </c>
      <c r="DB11" t="e">
        <f>AND('Fungi &amp; Lichen'!I41,"AAAAAF3rvmk=")</f>
        <v>#VALUE!</v>
      </c>
      <c r="DC11" t="e">
        <f>AND('Fungi &amp; Lichen'!J41,"AAAAAF3rvmo=")</f>
        <v>#VALUE!</v>
      </c>
      <c r="DD11" t="e">
        <f>AND('Fungi &amp; Lichen'!K41,"AAAAAF3rvms=")</f>
        <v>#VALUE!</v>
      </c>
      <c r="DE11" t="e">
        <f>AND('Fungi &amp; Lichen'!L41,"AAAAAF3rvmw=")</f>
        <v>#VALUE!</v>
      </c>
      <c r="DF11" t="e">
        <f>AND('Fungi &amp; Lichen'!M41,"AAAAAF3rvm0=")</f>
        <v>#VALUE!</v>
      </c>
      <c r="DG11" t="e">
        <f>AND('Fungi &amp; Lichen'!N41,"AAAAAF3rvm4=")</f>
        <v>#VALUE!</v>
      </c>
      <c r="DH11" t="e">
        <f>AND('Fungi &amp; Lichen'!O41,"AAAAAF3rvm8=")</f>
        <v>#VALUE!</v>
      </c>
      <c r="DI11" t="e">
        <f>AND('Fungi &amp; Lichen'!P41,"AAAAAF3rvnA=")</f>
        <v>#VALUE!</v>
      </c>
      <c r="DJ11" t="e">
        <f>AND('Fungi &amp; Lichen'!Q41,"AAAAAF3rvnE=")</f>
        <v>#VALUE!</v>
      </c>
      <c r="DK11" t="e">
        <f>AND('Fungi &amp; Lichen'!R41,"AAAAAF3rvnI=")</f>
        <v>#VALUE!</v>
      </c>
      <c r="DL11" t="e">
        <f>AND('Fungi &amp; Lichen'!S41,"AAAAAF3rvnM=")</f>
        <v>#VALUE!</v>
      </c>
      <c r="DM11" t="e">
        <f>AND('Fungi &amp; Lichen'!T41,"AAAAAF3rvnQ=")</f>
        <v>#VALUE!</v>
      </c>
      <c r="DN11" t="e">
        <f>AND('Fungi &amp; Lichen'!U41,"AAAAAF3rvnU=")</f>
        <v>#VALUE!</v>
      </c>
      <c r="DO11" t="e">
        <f>AND('Fungi &amp; Lichen'!V41,"AAAAAF3rvnY=")</f>
        <v>#VALUE!</v>
      </c>
      <c r="DP11">
        <f>IF('Fungi &amp; Lichen'!42:42,"AAAAAF3rvnc=",0)</f>
        <v>0</v>
      </c>
      <c r="DQ11" t="e">
        <f>AND('Fungi &amp; Lichen'!A42,"AAAAAF3rvng=")</f>
        <v>#VALUE!</v>
      </c>
      <c r="DR11" t="e">
        <f>AND('Fungi &amp; Lichen'!B42,"AAAAAF3rvnk=")</f>
        <v>#VALUE!</v>
      </c>
      <c r="DS11" t="e">
        <f>AND('Fungi &amp; Lichen'!C42,"AAAAAF3rvno=")</f>
        <v>#VALUE!</v>
      </c>
      <c r="DT11" t="e">
        <f>AND('Fungi &amp; Lichen'!D42,"AAAAAF3rvns=")</f>
        <v>#VALUE!</v>
      </c>
      <c r="DU11" t="e">
        <f>AND('Fungi &amp; Lichen'!E42,"AAAAAF3rvnw=")</f>
        <v>#VALUE!</v>
      </c>
      <c r="DV11" t="e">
        <f>AND('Fungi &amp; Lichen'!F42,"AAAAAF3rvn0=")</f>
        <v>#VALUE!</v>
      </c>
      <c r="DW11" t="e">
        <f>AND('Fungi &amp; Lichen'!G42,"AAAAAF3rvn4=")</f>
        <v>#VALUE!</v>
      </c>
      <c r="DX11" t="e">
        <f>AND('Fungi &amp; Lichen'!H42,"AAAAAF3rvn8=")</f>
        <v>#VALUE!</v>
      </c>
      <c r="DY11" t="e">
        <f>AND('Fungi &amp; Lichen'!I42,"AAAAAF3rvoA=")</f>
        <v>#VALUE!</v>
      </c>
      <c r="DZ11" t="e">
        <f>AND('Fungi &amp; Lichen'!J42,"AAAAAF3rvoE=")</f>
        <v>#VALUE!</v>
      </c>
      <c r="EA11" t="e">
        <f>AND('Fungi &amp; Lichen'!K42,"AAAAAF3rvoI=")</f>
        <v>#VALUE!</v>
      </c>
      <c r="EB11" t="e">
        <f>AND('Fungi &amp; Lichen'!L42,"AAAAAF3rvoM=")</f>
        <v>#VALUE!</v>
      </c>
      <c r="EC11" t="e">
        <f>AND('Fungi &amp; Lichen'!M42,"AAAAAF3rvoQ=")</f>
        <v>#VALUE!</v>
      </c>
      <c r="ED11" t="e">
        <f>AND('Fungi &amp; Lichen'!N42,"AAAAAF3rvoU=")</f>
        <v>#VALUE!</v>
      </c>
      <c r="EE11" t="e">
        <f>AND('Fungi &amp; Lichen'!O42,"AAAAAF3rvoY=")</f>
        <v>#VALUE!</v>
      </c>
      <c r="EF11" t="e">
        <f>AND('Fungi &amp; Lichen'!P42,"AAAAAF3rvoc=")</f>
        <v>#VALUE!</v>
      </c>
      <c r="EG11" t="e">
        <f>AND('Fungi &amp; Lichen'!Q42,"AAAAAF3rvog=")</f>
        <v>#VALUE!</v>
      </c>
      <c r="EH11" t="e">
        <f>AND('Fungi &amp; Lichen'!R42,"AAAAAF3rvok=")</f>
        <v>#VALUE!</v>
      </c>
      <c r="EI11" t="e">
        <f>AND('Fungi &amp; Lichen'!S42,"AAAAAF3rvoo=")</f>
        <v>#VALUE!</v>
      </c>
      <c r="EJ11" t="e">
        <f>AND('Fungi &amp; Lichen'!T42,"AAAAAF3rvos=")</f>
        <v>#VALUE!</v>
      </c>
      <c r="EK11" t="e">
        <f>AND('Fungi &amp; Lichen'!U42,"AAAAAF3rvow=")</f>
        <v>#VALUE!</v>
      </c>
      <c r="EL11" t="e">
        <f>AND('Fungi &amp; Lichen'!V42,"AAAAAF3rvo0=")</f>
        <v>#VALUE!</v>
      </c>
      <c r="EM11">
        <f>IF('Fungi &amp; Lichen'!43:43,"AAAAAF3rvo4=",0)</f>
        <v>0</v>
      </c>
      <c r="EN11" t="e">
        <f>AND('Fungi &amp; Lichen'!A43,"AAAAAF3rvo8=")</f>
        <v>#VALUE!</v>
      </c>
      <c r="EO11" t="e">
        <f>AND('Fungi &amp; Lichen'!B43,"AAAAAF3rvpA=")</f>
        <v>#VALUE!</v>
      </c>
      <c r="EP11" t="e">
        <f>AND('Fungi &amp; Lichen'!C43,"AAAAAF3rvpE=")</f>
        <v>#VALUE!</v>
      </c>
      <c r="EQ11" t="e">
        <f>AND('Fungi &amp; Lichen'!D43,"AAAAAF3rvpI=")</f>
        <v>#VALUE!</v>
      </c>
      <c r="ER11" t="e">
        <f>AND('Fungi &amp; Lichen'!E43,"AAAAAF3rvpM=")</f>
        <v>#VALUE!</v>
      </c>
      <c r="ES11" t="e">
        <f>AND('Fungi &amp; Lichen'!F43,"AAAAAF3rvpQ=")</f>
        <v>#VALUE!</v>
      </c>
      <c r="ET11" t="e">
        <f>AND('Fungi &amp; Lichen'!G43,"AAAAAF3rvpU=")</f>
        <v>#VALUE!</v>
      </c>
      <c r="EU11" t="e">
        <f>AND('Fungi &amp; Lichen'!H43,"AAAAAF3rvpY=")</f>
        <v>#VALUE!</v>
      </c>
      <c r="EV11" t="e">
        <f>AND('Fungi &amp; Lichen'!I43,"AAAAAF3rvpc=")</f>
        <v>#VALUE!</v>
      </c>
      <c r="EW11" t="e">
        <f>AND('Fungi &amp; Lichen'!J43,"AAAAAF3rvpg=")</f>
        <v>#VALUE!</v>
      </c>
      <c r="EX11" t="e">
        <f>AND('Fungi &amp; Lichen'!K43,"AAAAAF3rvpk=")</f>
        <v>#VALUE!</v>
      </c>
      <c r="EY11" t="e">
        <f>AND('Fungi &amp; Lichen'!L43,"AAAAAF3rvpo=")</f>
        <v>#VALUE!</v>
      </c>
      <c r="EZ11" t="e">
        <f>AND('Fungi &amp; Lichen'!M43,"AAAAAF3rvps=")</f>
        <v>#VALUE!</v>
      </c>
      <c r="FA11" t="e">
        <f>AND('Fungi &amp; Lichen'!N43,"AAAAAF3rvpw=")</f>
        <v>#VALUE!</v>
      </c>
      <c r="FB11" t="e">
        <f>AND('Fungi &amp; Lichen'!O43,"AAAAAF3rvp0=")</f>
        <v>#VALUE!</v>
      </c>
      <c r="FC11" t="e">
        <f>AND('Fungi &amp; Lichen'!P43,"AAAAAF3rvp4=")</f>
        <v>#VALUE!</v>
      </c>
      <c r="FD11" t="e">
        <f>AND('Fungi &amp; Lichen'!Q43,"AAAAAF3rvp8=")</f>
        <v>#VALUE!</v>
      </c>
      <c r="FE11" t="e">
        <f>AND('Fungi &amp; Lichen'!R43,"AAAAAF3rvqA=")</f>
        <v>#VALUE!</v>
      </c>
      <c r="FF11" t="e">
        <f>AND('Fungi &amp; Lichen'!S43,"AAAAAF3rvqE=")</f>
        <v>#VALUE!</v>
      </c>
      <c r="FG11" t="e">
        <f>AND('Fungi &amp; Lichen'!T43,"AAAAAF3rvqI=")</f>
        <v>#VALUE!</v>
      </c>
      <c r="FH11" t="e">
        <f>AND('Fungi &amp; Lichen'!U43,"AAAAAF3rvqM=")</f>
        <v>#VALUE!</v>
      </c>
      <c r="FI11" t="e">
        <f>AND('Fungi &amp; Lichen'!V43,"AAAAAF3rvqQ=")</f>
        <v>#VALUE!</v>
      </c>
      <c r="FJ11">
        <f>IF('Fungi &amp; Lichen'!44:44,"AAAAAF3rvqU=",0)</f>
        <v>0</v>
      </c>
      <c r="FK11" t="e">
        <f>AND('Fungi &amp; Lichen'!A44,"AAAAAF3rvqY=")</f>
        <v>#VALUE!</v>
      </c>
      <c r="FL11" t="e">
        <f>AND('Fungi &amp; Lichen'!B44,"AAAAAF3rvqc=")</f>
        <v>#VALUE!</v>
      </c>
      <c r="FM11" t="e">
        <f>AND('Fungi &amp; Lichen'!C44,"AAAAAF3rvqg=")</f>
        <v>#VALUE!</v>
      </c>
      <c r="FN11" t="e">
        <f>AND('Fungi &amp; Lichen'!D44,"AAAAAF3rvqk=")</f>
        <v>#VALUE!</v>
      </c>
      <c r="FO11" t="e">
        <f>AND('Fungi &amp; Lichen'!E44,"AAAAAF3rvqo=")</f>
        <v>#VALUE!</v>
      </c>
      <c r="FP11" t="e">
        <f>AND('Fungi &amp; Lichen'!F44,"AAAAAF3rvqs=")</f>
        <v>#VALUE!</v>
      </c>
      <c r="FQ11" t="e">
        <f>AND('Fungi &amp; Lichen'!G44,"AAAAAF3rvqw=")</f>
        <v>#VALUE!</v>
      </c>
      <c r="FR11" t="e">
        <f>AND('Fungi &amp; Lichen'!H44,"AAAAAF3rvq0=")</f>
        <v>#VALUE!</v>
      </c>
      <c r="FS11" t="e">
        <f>AND('Fungi &amp; Lichen'!I44,"AAAAAF3rvq4=")</f>
        <v>#VALUE!</v>
      </c>
      <c r="FT11" t="e">
        <f>AND('Fungi &amp; Lichen'!J44,"AAAAAF3rvq8=")</f>
        <v>#VALUE!</v>
      </c>
      <c r="FU11" t="e">
        <f>AND('Fungi &amp; Lichen'!K44,"AAAAAF3rvrA=")</f>
        <v>#VALUE!</v>
      </c>
      <c r="FV11" t="e">
        <f>AND('Fungi &amp; Lichen'!L44,"AAAAAF3rvrE=")</f>
        <v>#VALUE!</v>
      </c>
      <c r="FW11" t="e">
        <f>AND('Fungi &amp; Lichen'!M44,"AAAAAF3rvrI=")</f>
        <v>#VALUE!</v>
      </c>
      <c r="FX11" t="e">
        <f>AND('Fungi &amp; Lichen'!N44,"AAAAAF3rvrM=")</f>
        <v>#VALUE!</v>
      </c>
      <c r="FY11" t="e">
        <f>AND('Fungi &amp; Lichen'!O44,"AAAAAF3rvrQ=")</f>
        <v>#VALUE!</v>
      </c>
      <c r="FZ11" t="e">
        <f>AND('Fungi &amp; Lichen'!P44,"AAAAAF3rvrU=")</f>
        <v>#VALUE!</v>
      </c>
      <c r="GA11" t="e">
        <f>AND('Fungi &amp; Lichen'!Q44,"AAAAAF3rvrY=")</f>
        <v>#VALUE!</v>
      </c>
      <c r="GB11" t="e">
        <f>AND('Fungi &amp; Lichen'!R44,"AAAAAF3rvrc=")</f>
        <v>#VALUE!</v>
      </c>
      <c r="GC11" t="e">
        <f>AND('Fungi &amp; Lichen'!S44,"AAAAAF3rvrg=")</f>
        <v>#VALUE!</v>
      </c>
      <c r="GD11" t="e">
        <f>AND('Fungi &amp; Lichen'!T44,"AAAAAF3rvrk=")</f>
        <v>#VALUE!</v>
      </c>
      <c r="GE11" t="e">
        <f>AND('Fungi &amp; Lichen'!U44,"AAAAAF3rvro=")</f>
        <v>#VALUE!</v>
      </c>
      <c r="GF11" t="e">
        <f>AND('Fungi &amp; Lichen'!V44,"AAAAAF3rvrs=")</f>
        <v>#VALUE!</v>
      </c>
      <c r="GG11">
        <f>IF('Fungi &amp; Lichen'!45:45,"AAAAAF3rvrw=",0)</f>
        <v>0</v>
      </c>
      <c r="GH11" t="e">
        <f>AND('Fungi &amp; Lichen'!A45,"AAAAAF3rvr0=")</f>
        <v>#VALUE!</v>
      </c>
      <c r="GI11" t="e">
        <f>AND('Fungi &amp; Lichen'!B45,"AAAAAF3rvr4=")</f>
        <v>#VALUE!</v>
      </c>
      <c r="GJ11" t="e">
        <f>AND('Fungi &amp; Lichen'!C45,"AAAAAF3rvr8=")</f>
        <v>#VALUE!</v>
      </c>
      <c r="GK11" t="e">
        <f>AND('Fungi &amp; Lichen'!D45,"AAAAAF3rvsA=")</f>
        <v>#VALUE!</v>
      </c>
      <c r="GL11" t="e">
        <f>AND('Fungi &amp; Lichen'!E45,"AAAAAF3rvsE=")</f>
        <v>#VALUE!</v>
      </c>
      <c r="GM11" t="e">
        <f>AND('Fungi &amp; Lichen'!F45,"AAAAAF3rvsI=")</f>
        <v>#VALUE!</v>
      </c>
      <c r="GN11" t="e">
        <f>AND('Fungi &amp; Lichen'!G45,"AAAAAF3rvsM=")</f>
        <v>#VALUE!</v>
      </c>
      <c r="GO11" t="e">
        <f>AND('Fungi &amp; Lichen'!H45,"AAAAAF3rvsQ=")</f>
        <v>#VALUE!</v>
      </c>
      <c r="GP11" t="e">
        <f>AND('Fungi &amp; Lichen'!I45,"AAAAAF3rvsU=")</f>
        <v>#VALUE!</v>
      </c>
      <c r="GQ11" t="e">
        <f>AND('Fungi &amp; Lichen'!J45,"AAAAAF3rvsY=")</f>
        <v>#VALUE!</v>
      </c>
      <c r="GR11" t="e">
        <f>AND('Fungi &amp; Lichen'!K45,"AAAAAF3rvsc=")</f>
        <v>#VALUE!</v>
      </c>
      <c r="GS11" t="e">
        <f>AND('Fungi &amp; Lichen'!L45,"AAAAAF3rvsg=")</f>
        <v>#VALUE!</v>
      </c>
      <c r="GT11" t="e">
        <f>AND('Fungi &amp; Lichen'!M45,"AAAAAF3rvsk=")</f>
        <v>#VALUE!</v>
      </c>
      <c r="GU11" t="e">
        <f>AND('Fungi &amp; Lichen'!N45,"AAAAAF3rvso=")</f>
        <v>#VALUE!</v>
      </c>
      <c r="GV11" t="e">
        <f>AND('Fungi &amp; Lichen'!O45,"AAAAAF3rvss=")</f>
        <v>#VALUE!</v>
      </c>
      <c r="GW11" t="e">
        <f>AND('Fungi &amp; Lichen'!P45,"AAAAAF3rvsw=")</f>
        <v>#VALUE!</v>
      </c>
      <c r="GX11" t="e">
        <f>AND('Fungi &amp; Lichen'!Q45,"AAAAAF3rvs0=")</f>
        <v>#VALUE!</v>
      </c>
      <c r="GY11" t="e">
        <f>AND('Fungi &amp; Lichen'!R45,"AAAAAF3rvs4=")</f>
        <v>#VALUE!</v>
      </c>
      <c r="GZ11" t="e">
        <f>AND('Fungi &amp; Lichen'!S45,"AAAAAF3rvs8=")</f>
        <v>#VALUE!</v>
      </c>
      <c r="HA11" t="e">
        <f>AND('Fungi &amp; Lichen'!T45,"AAAAAF3rvtA=")</f>
        <v>#VALUE!</v>
      </c>
      <c r="HB11" t="e">
        <f>AND('Fungi &amp; Lichen'!U45,"AAAAAF3rvtE=")</f>
        <v>#VALUE!</v>
      </c>
      <c r="HC11" t="e">
        <f>AND('Fungi &amp; Lichen'!V45,"AAAAAF3rvtI=")</f>
        <v>#VALUE!</v>
      </c>
      <c r="HD11">
        <f>IF('Fungi &amp; Lichen'!46:46,"AAAAAF3rvtM=",0)</f>
        <v>0</v>
      </c>
      <c r="HE11" t="e">
        <f>AND('Fungi &amp; Lichen'!A46,"AAAAAF3rvtQ=")</f>
        <v>#VALUE!</v>
      </c>
      <c r="HF11" t="e">
        <f>AND('Fungi &amp; Lichen'!B46,"AAAAAF3rvtU=")</f>
        <v>#VALUE!</v>
      </c>
      <c r="HG11" t="e">
        <f>AND('Fungi &amp; Lichen'!C46,"AAAAAF3rvtY=")</f>
        <v>#VALUE!</v>
      </c>
      <c r="HH11" t="e">
        <f>AND('Fungi &amp; Lichen'!D46,"AAAAAF3rvtc=")</f>
        <v>#VALUE!</v>
      </c>
      <c r="HI11" t="e">
        <f>AND('Fungi &amp; Lichen'!E46,"AAAAAF3rvtg=")</f>
        <v>#VALUE!</v>
      </c>
      <c r="HJ11" t="e">
        <f>AND('Fungi &amp; Lichen'!F46,"AAAAAF3rvtk=")</f>
        <v>#VALUE!</v>
      </c>
      <c r="HK11" t="e">
        <f>AND('Fungi &amp; Lichen'!G46,"AAAAAF3rvto=")</f>
        <v>#VALUE!</v>
      </c>
      <c r="HL11" t="e">
        <f>AND('Fungi &amp; Lichen'!H46,"AAAAAF3rvts=")</f>
        <v>#VALUE!</v>
      </c>
      <c r="HM11" t="e">
        <f>AND('Fungi &amp; Lichen'!I46,"AAAAAF3rvtw=")</f>
        <v>#VALUE!</v>
      </c>
      <c r="HN11" t="e">
        <f>AND('Fungi &amp; Lichen'!J46,"AAAAAF3rvt0=")</f>
        <v>#VALUE!</v>
      </c>
      <c r="HO11" t="e">
        <f>AND('Fungi &amp; Lichen'!K46,"AAAAAF3rvt4=")</f>
        <v>#VALUE!</v>
      </c>
      <c r="HP11" t="e">
        <f>AND('Fungi &amp; Lichen'!L46,"AAAAAF3rvt8=")</f>
        <v>#VALUE!</v>
      </c>
      <c r="HQ11" t="e">
        <f>AND('Fungi &amp; Lichen'!M46,"AAAAAF3rvuA=")</f>
        <v>#VALUE!</v>
      </c>
      <c r="HR11" t="e">
        <f>AND('Fungi &amp; Lichen'!N46,"AAAAAF3rvuE=")</f>
        <v>#VALUE!</v>
      </c>
      <c r="HS11" t="e">
        <f>AND('Fungi &amp; Lichen'!O46,"AAAAAF3rvuI=")</f>
        <v>#VALUE!</v>
      </c>
      <c r="HT11" t="e">
        <f>AND('Fungi &amp; Lichen'!P46,"AAAAAF3rvuM=")</f>
        <v>#VALUE!</v>
      </c>
      <c r="HU11" t="e">
        <f>AND('Fungi &amp; Lichen'!Q46,"AAAAAF3rvuQ=")</f>
        <v>#VALUE!</v>
      </c>
      <c r="HV11" t="e">
        <f>AND('Fungi &amp; Lichen'!R46,"AAAAAF3rvuU=")</f>
        <v>#VALUE!</v>
      </c>
      <c r="HW11" t="e">
        <f>AND('Fungi &amp; Lichen'!S46,"AAAAAF3rvuY=")</f>
        <v>#VALUE!</v>
      </c>
      <c r="HX11" t="e">
        <f>AND('Fungi &amp; Lichen'!T46,"AAAAAF3rvuc=")</f>
        <v>#VALUE!</v>
      </c>
      <c r="HY11" t="e">
        <f>AND('Fungi &amp; Lichen'!U46,"AAAAAF3rvug=")</f>
        <v>#VALUE!</v>
      </c>
      <c r="HZ11" t="e">
        <f>AND('Fungi &amp; Lichen'!V46,"AAAAAF3rvuk=")</f>
        <v>#VALUE!</v>
      </c>
      <c r="IA11">
        <f>IF('Fungi &amp; Lichen'!47:47,"AAAAAF3rvuo=",0)</f>
        <v>0</v>
      </c>
      <c r="IB11" t="e">
        <f>AND('Fungi &amp; Lichen'!A47,"AAAAAF3rvus=")</f>
        <v>#VALUE!</v>
      </c>
      <c r="IC11" t="e">
        <f>AND('Fungi &amp; Lichen'!B47,"AAAAAF3rvuw=")</f>
        <v>#VALUE!</v>
      </c>
      <c r="ID11" t="e">
        <f>AND('Fungi &amp; Lichen'!C47,"AAAAAF3rvu0=")</f>
        <v>#VALUE!</v>
      </c>
      <c r="IE11" t="e">
        <f>AND('Fungi &amp; Lichen'!D47,"AAAAAF3rvu4=")</f>
        <v>#VALUE!</v>
      </c>
      <c r="IF11" t="e">
        <f>AND('Fungi &amp; Lichen'!E47,"AAAAAF3rvu8=")</f>
        <v>#VALUE!</v>
      </c>
      <c r="IG11" t="e">
        <f>AND('Fungi &amp; Lichen'!F47,"AAAAAF3rvvA=")</f>
        <v>#VALUE!</v>
      </c>
      <c r="IH11" t="e">
        <f>AND('Fungi &amp; Lichen'!G47,"AAAAAF3rvvE=")</f>
        <v>#VALUE!</v>
      </c>
      <c r="II11" t="e">
        <f>AND('Fungi &amp; Lichen'!H47,"AAAAAF3rvvI=")</f>
        <v>#VALUE!</v>
      </c>
      <c r="IJ11" t="e">
        <f>AND('Fungi &amp; Lichen'!I47,"AAAAAF3rvvM=")</f>
        <v>#VALUE!</v>
      </c>
      <c r="IK11" t="e">
        <f>AND('Fungi &amp; Lichen'!J47,"AAAAAF3rvvQ=")</f>
        <v>#VALUE!</v>
      </c>
      <c r="IL11" t="e">
        <f>AND('Fungi &amp; Lichen'!K47,"AAAAAF3rvvU=")</f>
        <v>#VALUE!</v>
      </c>
      <c r="IM11" t="e">
        <f>AND('Fungi &amp; Lichen'!L47,"AAAAAF3rvvY=")</f>
        <v>#VALUE!</v>
      </c>
      <c r="IN11" t="e">
        <f>AND('Fungi &amp; Lichen'!M47,"AAAAAF3rvvc=")</f>
        <v>#VALUE!</v>
      </c>
      <c r="IO11" t="e">
        <f>AND('Fungi &amp; Lichen'!N47,"AAAAAF3rvvg=")</f>
        <v>#VALUE!</v>
      </c>
      <c r="IP11" t="e">
        <f>AND('Fungi &amp; Lichen'!O47,"AAAAAF3rvvk=")</f>
        <v>#VALUE!</v>
      </c>
      <c r="IQ11" t="e">
        <f>AND('Fungi &amp; Lichen'!P47,"AAAAAF3rvvo=")</f>
        <v>#VALUE!</v>
      </c>
      <c r="IR11" t="e">
        <f>AND('Fungi &amp; Lichen'!Q47,"AAAAAF3rvvs=")</f>
        <v>#VALUE!</v>
      </c>
      <c r="IS11" t="e">
        <f>AND('Fungi &amp; Lichen'!R47,"AAAAAF3rvvw=")</f>
        <v>#VALUE!</v>
      </c>
      <c r="IT11" t="e">
        <f>AND('Fungi &amp; Lichen'!S47,"AAAAAF3rvv0=")</f>
        <v>#VALUE!</v>
      </c>
      <c r="IU11" t="e">
        <f>AND('Fungi &amp; Lichen'!T47,"AAAAAF3rvv4=")</f>
        <v>#VALUE!</v>
      </c>
      <c r="IV11" t="e">
        <f>AND('Fungi &amp; Lichen'!U47,"AAAAAF3rvv8=")</f>
        <v>#VALUE!</v>
      </c>
    </row>
    <row r="12" spans="1:256">
      <c r="A12" t="e">
        <f>AND('Fungi &amp; Lichen'!V47,"AAAAAHwzxwA=")</f>
        <v>#VALUE!</v>
      </c>
      <c r="B12" t="e">
        <f>IF('Fungi &amp; Lichen'!48:48,"AAAAAHwzxwE=",0)</f>
        <v>#VALUE!</v>
      </c>
      <c r="C12" t="e">
        <f>AND('Fungi &amp; Lichen'!A48,"AAAAAHwzxwI=")</f>
        <v>#VALUE!</v>
      </c>
      <c r="D12" t="e">
        <f>AND('Fungi &amp; Lichen'!B48,"AAAAAHwzxwM=")</f>
        <v>#VALUE!</v>
      </c>
      <c r="E12" t="e">
        <f>AND('Fungi &amp; Lichen'!C48,"AAAAAHwzxwQ=")</f>
        <v>#VALUE!</v>
      </c>
      <c r="F12" t="e">
        <f>AND('Fungi &amp; Lichen'!D48,"AAAAAHwzxwU=")</f>
        <v>#VALUE!</v>
      </c>
      <c r="G12" t="e">
        <f>AND('Fungi &amp; Lichen'!E48,"AAAAAHwzxwY=")</f>
        <v>#VALUE!</v>
      </c>
      <c r="H12" t="e">
        <f>AND('Fungi &amp; Lichen'!F48,"AAAAAHwzxwc=")</f>
        <v>#VALUE!</v>
      </c>
      <c r="I12" t="e">
        <f>AND('Fungi &amp; Lichen'!G48,"AAAAAHwzxwg=")</f>
        <v>#VALUE!</v>
      </c>
      <c r="J12" t="e">
        <f>AND('Fungi &amp; Lichen'!H48,"AAAAAHwzxwk=")</f>
        <v>#VALUE!</v>
      </c>
      <c r="K12" t="e">
        <f>AND('Fungi &amp; Lichen'!I48,"AAAAAHwzxwo=")</f>
        <v>#VALUE!</v>
      </c>
      <c r="L12" t="e">
        <f>AND('Fungi &amp; Lichen'!J48,"AAAAAHwzxws=")</f>
        <v>#VALUE!</v>
      </c>
      <c r="M12" t="e">
        <f>AND('Fungi &amp; Lichen'!K48,"AAAAAHwzxww=")</f>
        <v>#VALUE!</v>
      </c>
      <c r="N12" t="e">
        <f>AND('Fungi &amp; Lichen'!L48,"AAAAAHwzxw0=")</f>
        <v>#VALUE!</v>
      </c>
      <c r="O12" t="e">
        <f>AND('Fungi &amp; Lichen'!M48,"AAAAAHwzxw4=")</f>
        <v>#VALUE!</v>
      </c>
      <c r="P12" t="e">
        <f>AND('Fungi &amp; Lichen'!N48,"AAAAAHwzxw8=")</f>
        <v>#VALUE!</v>
      </c>
      <c r="Q12" t="e">
        <f>AND('Fungi &amp; Lichen'!O48,"AAAAAHwzxxA=")</f>
        <v>#VALUE!</v>
      </c>
      <c r="R12" t="e">
        <f>AND('Fungi &amp; Lichen'!P48,"AAAAAHwzxxE=")</f>
        <v>#VALUE!</v>
      </c>
      <c r="S12" t="e">
        <f>AND('Fungi &amp; Lichen'!Q48,"AAAAAHwzxxI=")</f>
        <v>#VALUE!</v>
      </c>
      <c r="T12" t="e">
        <f>AND('Fungi &amp; Lichen'!R48,"AAAAAHwzxxM=")</f>
        <v>#VALUE!</v>
      </c>
      <c r="U12" t="e">
        <f>AND('Fungi &amp; Lichen'!S48,"AAAAAHwzxxQ=")</f>
        <v>#VALUE!</v>
      </c>
      <c r="V12" t="e">
        <f>AND('Fungi &amp; Lichen'!T48,"AAAAAHwzxxU=")</f>
        <v>#VALUE!</v>
      </c>
      <c r="W12" t="e">
        <f>AND('Fungi &amp; Lichen'!U48,"AAAAAHwzxxY=")</f>
        <v>#VALUE!</v>
      </c>
      <c r="X12" t="e">
        <f>AND('Fungi &amp; Lichen'!V48,"AAAAAHwzxxc=")</f>
        <v>#VALUE!</v>
      </c>
      <c r="Y12">
        <f>IF('Fungi &amp; Lichen'!49:49,"AAAAAHwzxxg=",0)</f>
        <v>0</v>
      </c>
      <c r="Z12" t="e">
        <f>AND('Fungi &amp; Lichen'!A49,"AAAAAHwzxxk=")</f>
        <v>#VALUE!</v>
      </c>
      <c r="AA12" t="e">
        <f>AND('Fungi &amp; Lichen'!B49,"AAAAAHwzxxo=")</f>
        <v>#VALUE!</v>
      </c>
      <c r="AB12" t="e">
        <f>AND('Fungi &amp; Lichen'!C49,"AAAAAHwzxxs=")</f>
        <v>#VALUE!</v>
      </c>
      <c r="AC12" t="e">
        <f>AND('Fungi &amp; Lichen'!D49,"AAAAAHwzxxw=")</f>
        <v>#VALUE!</v>
      </c>
      <c r="AD12" t="e">
        <f>AND('Fungi &amp; Lichen'!E49,"AAAAAHwzxx0=")</f>
        <v>#VALUE!</v>
      </c>
      <c r="AE12" t="e">
        <f>AND('Fungi &amp; Lichen'!F49,"AAAAAHwzxx4=")</f>
        <v>#VALUE!</v>
      </c>
      <c r="AF12" t="e">
        <f>AND('Fungi &amp; Lichen'!G49,"AAAAAHwzxx8=")</f>
        <v>#VALUE!</v>
      </c>
      <c r="AG12" t="e">
        <f>AND('Fungi &amp; Lichen'!H49,"AAAAAHwzxyA=")</f>
        <v>#VALUE!</v>
      </c>
      <c r="AH12" t="e">
        <f>AND('Fungi &amp; Lichen'!I49,"AAAAAHwzxyE=")</f>
        <v>#VALUE!</v>
      </c>
      <c r="AI12" t="e">
        <f>AND('Fungi &amp; Lichen'!J49,"AAAAAHwzxyI=")</f>
        <v>#VALUE!</v>
      </c>
      <c r="AJ12" t="e">
        <f>AND('Fungi &amp; Lichen'!K49,"AAAAAHwzxyM=")</f>
        <v>#VALUE!</v>
      </c>
      <c r="AK12" t="e">
        <f>AND('Fungi &amp; Lichen'!L49,"AAAAAHwzxyQ=")</f>
        <v>#VALUE!</v>
      </c>
      <c r="AL12" t="e">
        <f>AND('Fungi &amp; Lichen'!M49,"AAAAAHwzxyU=")</f>
        <v>#VALUE!</v>
      </c>
      <c r="AM12" t="e">
        <f>AND('Fungi &amp; Lichen'!N49,"AAAAAHwzxyY=")</f>
        <v>#VALUE!</v>
      </c>
      <c r="AN12" t="e">
        <f>AND('Fungi &amp; Lichen'!O49,"AAAAAHwzxyc=")</f>
        <v>#VALUE!</v>
      </c>
      <c r="AO12" t="e">
        <f>AND('Fungi &amp; Lichen'!P49,"AAAAAHwzxyg=")</f>
        <v>#VALUE!</v>
      </c>
      <c r="AP12" t="e">
        <f>AND('Fungi &amp; Lichen'!Q49,"AAAAAHwzxyk=")</f>
        <v>#VALUE!</v>
      </c>
      <c r="AQ12" t="e">
        <f>AND('Fungi &amp; Lichen'!R49,"AAAAAHwzxyo=")</f>
        <v>#VALUE!</v>
      </c>
      <c r="AR12" t="e">
        <f>AND('Fungi &amp; Lichen'!S49,"AAAAAHwzxys=")</f>
        <v>#VALUE!</v>
      </c>
      <c r="AS12" t="e">
        <f>AND('Fungi &amp; Lichen'!T49,"AAAAAHwzxyw=")</f>
        <v>#VALUE!</v>
      </c>
      <c r="AT12" t="e">
        <f>AND('Fungi &amp; Lichen'!U49,"AAAAAHwzxy0=")</f>
        <v>#VALUE!</v>
      </c>
      <c r="AU12" t="e">
        <f>AND('Fungi &amp; Lichen'!V49,"AAAAAHwzxy4=")</f>
        <v>#VALUE!</v>
      </c>
      <c r="AV12">
        <f>IF('Fungi &amp; Lichen'!50:50,"AAAAAHwzxy8=",0)</f>
        <v>0</v>
      </c>
      <c r="AW12" t="e">
        <f>AND('Fungi &amp; Lichen'!A50,"AAAAAHwzxzA=")</f>
        <v>#VALUE!</v>
      </c>
      <c r="AX12" t="e">
        <f>AND('Fungi &amp; Lichen'!B50,"AAAAAHwzxzE=")</f>
        <v>#VALUE!</v>
      </c>
      <c r="AY12" t="e">
        <f>AND('Fungi &amp; Lichen'!C50,"AAAAAHwzxzI=")</f>
        <v>#VALUE!</v>
      </c>
      <c r="AZ12" t="e">
        <f>AND('Fungi &amp; Lichen'!D50,"AAAAAHwzxzM=")</f>
        <v>#VALUE!</v>
      </c>
      <c r="BA12" t="e">
        <f>AND('Fungi &amp; Lichen'!E50,"AAAAAHwzxzQ=")</f>
        <v>#VALUE!</v>
      </c>
      <c r="BB12" t="e">
        <f>AND('Fungi &amp; Lichen'!F50,"AAAAAHwzxzU=")</f>
        <v>#VALUE!</v>
      </c>
      <c r="BC12" t="e">
        <f>AND('Fungi &amp; Lichen'!G50,"AAAAAHwzxzY=")</f>
        <v>#VALUE!</v>
      </c>
      <c r="BD12" t="e">
        <f>AND('Fungi &amp; Lichen'!H50,"AAAAAHwzxzc=")</f>
        <v>#VALUE!</v>
      </c>
      <c r="BE12" t="e">
        <f>AND('Fungi &amp; Lichen'!I50,"AAAAAHwzxzg=")</f>
        <v>#VALUE!</v>
      </c>
      <c r="BF12" t="e">
        <f>AND('Fungi &amp; Lichen'!J50,"AAAAAHwzxzk=")</f>
        <v>#VALUE!</v>
      </c>
      <c r="BG12" t="e">
        <f>AND('Fungi &amp; Lichen'!K50,"AAAAAHwzxzo=")</f>
        <v>#VALUE!</v>
      </c>
      <c r="BH12" t="e">
        <f>AND('Fungi &amp; Lichen'!L50,"AAAAAHwzxzs=")</f>
        <v>#VALUE!</v>
      </c>
      <c r="BI12" t="e">
        <f>AND('Fungi &amp; Lichen'!M50,"AAAAAHwzxzw=")</f>
        <v>#VALUE!</v>
      </c>
      <c r="BJ12" t="e">
        <f>AND('Fungi &amp; Lichen'!N50,"AAAAAHwzxz0=")</f>
        <v>#VALUE!</v>
      </c>
      <c r="BK12" t="e">
        <f>AND('Fungi &amp; Lichen'!O50,"AAAAAHwzxz4=")</f>
        <v>#VALUE!</v>
      </c>
      <c r="BL12" t="e">
        <f>AND('Fungi &amp; Lichen'!P50,"AAAAAHwzxz8=")</f>
        <v>#VALUE!</v>
      </c>
      <c r="BM12" t="e">
        <f>AND('Fungi &amp; Lichen'!Q50,"AAAAAHwzx0A=")</f>
        <v>#VALUE!</v>
      </c>
      <c r="BN12" t="e">
        <f>AND('Fungi &amp; Lichen'!R50,"AAAAAHwzx0E=")</f>
        <v>#VALUE!</v>
      </c>
      <c r="BO12" t="e">
        <f>AND('Fungi &amp; Lichen'!S50,"AAAAAHwzx0I=")</f>
        <v>#VALUE!</v>
      </c>
      <c r="BP12" t="e">
        <f>AND('Fungi &amp; Lichen'!T50,"AAAAAHwzx0M=")</f>
        <v>#VALUE!</v>
      </c>
      <c r="BQ12" t="e">
        <f>AND('Fungi &amp; Lichen'!U50,"AAAAAHwzx0Q=")</f>
        <v>#VALUE!</v>
      </c>
      <c r="BR12" t="e">
        <f>AND('Fungi &amp; Lichen'!V50,"AAAAAHwzx0U=")</f>
        <v>#VALUE!</v>
      </c>
      <c r="BS12">
        <f>IF('Fungi &amp; Lichen'!51:51,"AAAAAHwzx0Y=",0)</f>
        <v>0</v>
      </c>
      <c r="BT12" t="e">
        <f>AND('Fungi &amp; Lichen'!A51,"AAAAAHwzx0c=")</f>
        <v>#VALUE!</v>
      </c>
      <c r="BU12" t="e">
        <f>AND('Fungi &amp; Lichen'!B51,"AAAAAHwzx0g=")</f>
        <v>#VALUE!</v>
      </c>
      <c r="BV12" t="e">
        <f>AND('Fungi &amp; Lichen'!C51,"AAAAAHwzx0k=")</f>
        <v>#VALUE!</v>
      </c>
      <c r="BW12" t="e">
        <f>AND('Fungi &amp; Lichen'!D51,"AAAAAHwzx0o=")</f>
        <v>#VALUE!</v>
      </c>
      <c r="BX12" t="e">
        <f>AND('Fungi &amp; Lichen'!E51,"AAAAAHwzx0s=")</f>
        <v>#VALUE!</v>
      </c>
      <c r="BY12" t="e">
        <f>AND('Fungi &amp; Lichen'!F51,"AAAAAHwzx0w=")</f>
        <v>#VALUE!</v>
      </c>
      <c r="BZ12" t="e">
        <f>AND('Fungi &amp; Lichen'!G51,"AAAAAHwzx00=")</f>
        <v>#VALUE!</v>
      </c>
      <c r="CA12" t="e">
        <f>AND('Fungi &amp; Lichen'!H51,"AAAAAHwzx04=")</f>
        <v>#VALUE!</v>
      </c>
      <c r="CB12" t="e">
        <f>AND('Fungi &amp; Lichen'!I51,"AAAAAHwzx08=")</f>
        <v>#VALUE!</v>
      </c>
      <c r="CC12" t="e">
        <f>AND('Fungi &amp; Lichen'!J51,"AAAAAHwzx1A=")</f>
        <v>#VALUE!</v>
      </c>
      <c r="CD12" t="e">
        <f>AND('Fungi &amp; Lichen'!K51,"AAAAAHwzx1E=")</f>
        <v>#VALUE!</v>
      </c>
      <c r="CE12" t="e">
        <f>AND('Fungi &amp; Lichen'!L51,"AAAAAHwzx1I=")</f>
        <v>#VALUE!</v>
      </c>
      <c r="CF12" t="e">
        <f>AND('Fungi &amp; Lichen'!M51,"AAAAAHwzx1M=")</f>
        <v>#VALUE!</v>
      </c>
      <c r="CG12" t="e">
        <f>AND('Fungi &amp; Lichen'!N51,"AAAAAHwzx1Q=")</f>
        <v>#VALUE!</v>
      </c>
      <c r="CH12" t="e">
        <f>AND('Fungi &amp; Lichen'!O51,"AAAAAHwzx1U=")</f>
        <v>#VALUE!</v>
      </c>
      <c r="CI12" t="e">
        <f>AND('Fungi &amp; Lichen'!P51,"AAAAAHwzx1Y=")</f>
        <v>#VALUE!</v>
      </c>
      <c r="CJ12" t="e">
        <f>AND('Fungi &amp; Lichen'!Q51,"AAAAAHwzx1c=")</f>
        <v>#VALUE!</v>
      </c>
      <c r="CK12" t="e">
        <f>AND('Fungi &amp; Lichen'!R51,"AAAAAHwzx1g=")</f>
        <v>#VALUE!</v>
      </c>
      <c r="CL12" t="e">
        <f>AND('Fungi &amp; Lichen'!S51,"AAAAAHwzx1k=")</f>
        <v>#VALUE!</v>
      </c>
      <c r="CM12" t="e">
        <f>AND('Fungi &amp; Lichen'!T51,"AAAAAHwzx1o=")</f>
        <v>#VALUE!</v>
      </c>
      <c r="CN12" t="e">
        <f>AND('Fungi &amp; Lichen'!U51,"AAAAAHwzx1s=")</f>
        <v>#VALUE!</v>
      </c>
      <c r="CO12" t="e">
        <f>AND('Fungi &amp; Lichen'!V51,"AAAAAHwzx1w=")</f>
        <v>#VALUE!</v>
      </c>
      <c r="CP12">
        <f>IF('Fungi &amp; Lichen'!52:52,"AAAAAHwzx10=",0)</f>
        <v>0</v>
      </c>
      <c r="CQ12" t="e">
        <f>AND('Fungi &amp; Lichen'!A52,"AAAAAHwzx14=")</f>
        <v>#VALUE!</v>
      </c>
      <c r="CR12" t="e">
        <f>AND('Fungi &amp; Lichen'!B52,"AAAAAHwzx18=")</f>
        <v>#VALUE!</v>
      </c>
      <c r="CS12" t="e">
        <f>AND('Fungi &amp; Lichen'!C52,"AAAAAHwzx2A=")</f>
        <v>#VALUE!</v>
      </c>
      <c r="CT12" t="e">
        <f>AND('Fungi &amp; Lichen'!D52,"AAAAAHwzx2E=")</f>
        <v>#VALUE!</v>
      </c>
      <c r="CU12" t="e">
        <f>AND('Fungi &amp; Lichen'!E52,"AAAAAHwzx2I=")</f>
        <v>#VALUE!</v>
      </c>
      <c r="CV12" t="e">
        <f>AND('Fungi &amp; Lichen'!F52,"AAAAAHwzx2M=")</f>
        <v>#VALUE!</v>
      </c>
      <c r="CW12" t="e">
        <f>AND('Fungi &amp; Lichen'!G52,"AAAAAHwzx2Q=")</f>
        <v>#VALUE!</v>
      </c>
      <c r="CX12" t="e">
        <f>AND('Fungi &amp; Lichen'!H52,"AAAAAHwzx2U=")</f>
        <v>#VALUE!</v>
      </c>
      <c r="CY12" t="e">
        <f>AND('Fungi &amp; Lichen'!I52,"AAAAAHwzx2Y=")</f>
        <v>#VALUE!</v>
      </c>
      <c r="CZ12" t="e">
        <f>AND('Fungi &amp; Lichen'!J52,"AAAAAHwzx2c=")</f>
        <v>#VALUE!</v>
      </c>
      <c r="DA12" t="e">
        <f>AND('Fungi &amp; Lichen'!K52,"AAAAAHwzx2g=")</f>
        <v>#VALUE!</v>
      </c>
      <c r="DB12" t="e">
        <f>AND('Fungi &amp; Lichen'!L52,"AAAAAHwzx2k=")</f>
        <v>#VALUE!</v>
      </c>
      <c r="DC12" t="e">
        <f>AND('Fungi &amp; Lichen'!M52,"AAAAAHwzx2o=")</f>
        <v>#VALUE!</v>
      </c>
      <c r="DD12" t="e">
        <f>AND('Fungi &amp; Lichen'!N52,"AAAAAHwzx2s=")</f>
        <v>#VALUE!</v>
      </c>
      <c r="DE12" t="e">
        <f>AND('Fungi &amp; Lichen'!O52,"AAAAAHwzx2w=")</f>
        <v>#VALUE!</v>
      </c>
      <c r="DF12" t="e">
        <f>AND('Fungi &amp; Lichen'!P52,"AAAAAHwzx20=")</f>
        <v>#VALUE!</v>
      </c>
      <c r="DG12" t="e">
        <f>AND('Fungi &amp; Lichen'!Q52,"AAAAAHwzx24=")</f>
        <v>#VALUE!</v>
      </c>
      <c r="DH12" t="e">
        <f>AND('Fungi &amp; Lichen'!R52,"AAAAAHwzx28=")</f>
        <v>#VALUE!</v>
      </c>
      <c r="DI12" t="e">
        <f>AND('Fungi &amp; Lichen'!S52,"AAAAAHwzx3A=")</f>
        <v>#VALUE!</v>
      </c>
      <c r="DJ12" t="e">
        <f>AND('Fungi &amp; Lichen'!T52,"AAAAAHwzx3E=")</f>
        <v>#VALUE!</v>
      </c>
      <c r="DK12" t="e">
        <f>AND('Fungi &amp; Lichen'!U52,"AAAAAHwzx3I=")</f>
        <v>#VALUE!</v>
      </c>
      <c r="DL12" t="e">
        <f>AND('Fungi &amp; Lichen'!V52,"AAAAAHwzx3M=")</f>
        <v>#VALUE!</v>
      </c>
      <c r="DM12">
        <f>IF('Fungi &amp; Lichen'!53:53,"AAAAAHwzx3Q=",0)</f>
        <v>0</v>
      </c>
      <c r="DN12" t="e">
        <f>AND('Fungi &amp; Lichen'!A53,"AAAAAHwzx3U=")</f>
        <v>#VALUE!</v>
      </c>
      <c r="DO12" t="e">
        <f>AND('Fungi &amp; Lichen'!B53,"AAAAAHwzx3Y=")</f>
        <v>#VALUE!</v>
      </c>
      <c r="DP12" t="e">
        <f>AND('Fungi &amp; Lichen'!C53,"AAAAAHwzx3c=")</f>
        <v>#VALUE!</v>
      </c>
      <c r="DQ12" t="e">
        <f>AND('Fungi &amp; Lichen'!D53,"AAAAAHwzx3g=")</f>
        <v>#VALUE!</v>
      </c>
      <c r="DR12" t="e">
        <f>AND('Fungi &amp; Lichen'!E53,"AAAAAHwzx3k=")</f>
        <v>#VALUE!</v>
      </c>
      <c r="DS12" t="e">
        <f>AND('Fungi &amp; Lichen'!F53,"AAAAAHwzx3o=")</f>
        <v>#VALUE!</v>
      </c>
      <c r="DT12" t="e">
        <f>AND('Fungi &amp; Lichen'!G53,"AAAAAHwzx3s=")</f>
        <v>#VALUE!</v>
      </c>
      <c r="DU12" t="e">
        <f>AND('Fungi &amp; Lichen'!H53,"AAAAAHwzx3w=")</f>
        <v>#VALUE!</v>
      </c>
      <c r="DV12" t="e">
        <f>AND('Fungi &amp; Lichen'!I53,"AAAAAHwzx30=")</f>
        <v>#VALUE!</v>
      </c>
      <c r="DW12" t="e">
        <f>AND('Fungi &amp; Lichen'!J53,"AAAAAHwzx34=")</f>
        <v>#VALUE!</v>
      </c>
      <c r="DX12" t="e">
        <f>AND('Fungi &amp; Lichen'!K53,"AAAAAHwzx38=")</f>
        <v>#VALUE!</v>
      </c>
      <c r="DY12" t="e">
        <f>AND('Fungi &amp; Lichen'!L53,"AAAAAHwzx4A=")</f>
        <v>#VALUE!</v>
      </c>
      <c r="DZ12" t="e">
        <f>AND('Fungi &amp; Lichen'!M53,"AAAAAHwzx4E=")</f>
        <v>#VALUE!</v>
      </c>
      <c r="EA12" t="e">
        <f>AND('Fungi &amp; Lichen'!N53,"AAAAAHwzx4I=")</f>
        <v>#VALUE!</v>
      </c>
      <c r="EB12" t="e">
        <f>AND('Fungi &amp; Lichen'!O53,"AAAAAHwzx4M=")</f>
        <v>#VALUE!</v>
      </c>
      <c r="EC12" t="e">
        <f>AND('Fungi &amp; Lichen'!P53,"AAAAAHwzx4Q=")</f>
        <v>#VALUE!</v>
      </c>
      <c r="ED12" t="e">
        <f>AND('Fungi &amp; Lichen'!Q53,"AAAAAHwzx4U=")</f>
        <v>#VALUE!</v>
      </c>
      <c r="EE12" t="e">
        <f>AND('Fungi &amp; Lichen'!R53,"AAAAAHwzx4Y=")</f>
        <v>#VALUE!</v>
      </c>
      <c r="EF12" t="e">
        <f>AND('Fungi &amp; Lichen'!S53,"AAAAAHwzx4c=")</f>
        <v>#VALUE!</v>
      </c>
      <c r="EG12" t="e">
        <f>AND('Fungi &amp; Lichen'!T53,"AAAAAHwzx4g=")</f>
        <v>#VALUE!</v>
      </c>
      <c r="EH12" t="e">
        <f>AND('Fungi &amp; Lichen'!U53,"AAAAAHwzx4k=")</f>
        <v>#VALUE!</v>
      </c>
      <c r="EI12" t="e">
        <f>AND('Fungi &amp; Lichen'!V53,"AAAAAHwzx4o=")</f>
        <v>#VALUE!</v>
      </c>
      <c r="EJ12">
        <f>IF('Fungi &amp; Lichen'!54:54,"AAAAAHwzx4s=",0)</f>
        <v>0</v>
      </c>
      <c r="EK12" t="e">
        <f>AND('Fungi &amp; Lichen'!A54,"AAAAAHwzx4w=")</f>
        <v>#VALUE!</v>
      </c>
      <c r="EL12" t="e">
        <f>AND('Fungi &amp; Lichen'!B54,"AAAAAHwzx40=")</f>
        <v>#VALUE!</v>
      </c>
      <c r="EM12" t="e">
        <f>AND('Fungi &amp; Lichen'!C54,"AAAAAHwzx44=")</f>
        <v>#VALUE!</v>
      </c>
      <c r="EN12" t="e">
        <f>AND('Fungi &amp; Lichen'!D54,"AAAAAHwzx48=")</f>
        <v>#VALUE!</v>
      </c>
      <c r="EO12" t="e">
        <f>AND('Fungi &amp; Lichen'!E54,"AAAAAHwzx5A=")</f>
        <v>#VALUE!</v>
      </c>
      <c r="EP12" t="e">
        <f>AND('Fungi &amp; Lichen'!F54,"AAAAAHwzx5E=")</f>
        <v>#VALUE!</v>
      </c>
      <c r="EQ12" t="e">
        <f>AND('Fungi &amp; Lichen'!G54,"AAAAAHwzx5I=")</f>
        <v>#VALUE!</v>
      </c>
      <c r="ER12" t="e">
        <f>AND('Fungi &amp; Lichen'!H54,"AAAAAHwzx5M=")</f>
        <v>#VALUE!</v>
      </c>
      <c r="ES12" t="e">
        <f>AND('Fungi &amp; Lichen'!I54,"AAAAAHwzx5Q=")</f>
        <v>#VALUE!</v>
      </c>
      <c r="ET12" t="e">
        <f>AND('Fungi &amp; Lichen'!J54,"AAAAAHwzx5U=")</f>
        <v>#VALUE!</v>
      </c>
      <c r="EU12" t="e">
        <f>AND('Fungi &amp; Lichen'!K54,"AAAAAHwzx5Y=")</f>
        <v>#VALUE!</v>
      </c>
      <c r="EV12" t="e">
        <f>AND('Fungi &amp; Lichen'!L54,"AAAAAHwzx5c=")</f>
        <v>#VALUE!</v>
      </c>
      <c r="EW12" t="e">
        <f>AND('Fungi &amp; Lichen'!M54,"AAAAAHwzx5g=")</f>
        <v>#VALUE!</v>
      </c>
      <c r="EX12" t="e">
        <f>AND('Fungi &amp; Lichen'!N54,"AAAAAHwzx5k=")</f>
        <v>#VALUE!</v>
      </c>
      <c r="EY12" t="e">
        <f>AND('Fungi &amp; Lichen'!O54,"AAAAAHwzx5o=")</f>
        <v>#VALUE!</v>
      </c>
      <c r="EZ12" t="e">
        <f>AND('Fungi &amp; Lichen'!P54,"AAAAAHwzx5s=")</f>
        <v>#VALUE!</v>
      </c>
      <c r="FA12" t="e">
        <f>AND('Fungi &amp; Lichen'!Q54,"AAAAAHwzx5w=")</f>
        <v>#VALUE!</v>
      </c>
      <c r="FB12" t="e">
        <f>AND('Fungi &amp; Lichen'!R54,"AAAAAHwzx50=")</f>
        <v>#VALUE!</v>
      </c>
      <c r="FC12" t="e">
        <f>AND('Fungi &amp; Lichen'!S54,"AAAAAHwzx54=")</f>
        <v>#VALUE!</v>
      </c>
      <c r="FD12" t="e">
        <f>AND('Fungi &amp; Lichen'!T54,"AAAAAHwzx58=")</f>
        <v>#VALUE!</v>
      </c>
      <c r="FE12" t="e">
        <f>AND('Fungi &amp; Lichen'!U54,"AAAAAHwzx6A=")</f>
        <v>#VALUE!</v>
      </c>
      <c r="FF12" t="e">
        <f>AND('Fungi &amp; Lichen'!V54,"AAAAAHwzx6E=")</f>
        <v>#VALUE!</v>
      </c>
      <c r="FG12">
        <f>IF('Fungi &amp; Lichen'!55:55,"AAAAAHwzx6I=",0)</f>
        <v>0</v>
      </c>
      <c r="FH12" t="e">
        <f>AND('Fungi &amp; Lichen'!A55,"AAAAAHwzx6M=")</f>
        <v>#VALUE!</v>
      </c>
      <c r="FI12" t="e">
        <f>AND('Fungi &amp; Lichen'!B55,"AAAAAHwzx6Q=")</f>
        <v>#VALUE!</v>
      </c>
      <c r="FJ12" t="e">
        <f>AND('Fungi &amp; Lichen'!C55,"AAAAAHwzx6U=")</f>
        <v>#VALUE!</v>
      </c>
      <c r="FK12" t="e">
        <f>AND('Fungi &amp; Lichen'!D55,"AAAAAHwzx6Y=")</f>
        <v>#VALUE!</v>
      </c>
      <c r="FL12" t="e">
        <f>AND('Fungi &amp; Lichen'!E55,"AAAAAHwzx6c=")</f>
        <v>#VALUE!</v>
      </c>
      <c r="FM12" t="e">
        <f>AND('Fungi &amp; Lichen'!F55,"AAAAAHwzx6g=")</f>
        <v>#VALUE!</v>
      </c>
      <c r="FN12" t="e">
        <f>AND('Fungi &amp; Lichen'!G55,"AAAAAHwzx6k=")</f>
        <v>#VALUE!</v>
      </c>
      <c r="FO12" t="e">
        <f>AND('Fungi &amp; Lichen'!H55,"AAAAAHwzx6o=")</f>
        <v>#VALUE!</v>
      </c>
      <c r="FP12" t="e">
        <f>AND('Fungi &amp; Lichen'!I55,"AAAAAHwzx6s=")</f>
        <v>#VALUE!</v>
      </c>
      <c r="FQ12" t="e">
        <f>AND('Fungi &amp; Lichen'!J55,"AAAAAHwzx6w=")</f>
        <v>#VALUE!</v>
      </c>
      <c r="FR12" t="e">
        <f>AND('Fungi &amp; Lichen'!K55,"AAAAAHwzx60=")</f>
        <v>#VALUE!</v>
      </c>
      <c r="FS12" t="e">
        <f>AND('Fungi &amp; Lichen'!L55,"AAAAAHwzx64=")</f>
        <v>#VALUE!</v>
      </c>
      <c r="FT12" t="e">
        <f>AND('Fungi &amp; Lichen'!M55,"AAAAAHwzx68=")</f>
        <v>#VALUE!</v>
      </c>
      <c r="FU12" t="e">
        <f>AND('Fungi &amp; Lichen'!N55,"AAAAAHwzx7A=")</f>
        <v>#VALUE!</v>
      </c>
      <c r="FV12" t="e">
        <f>AND('Fungi &amp; Lichen'!O55,"AAAAAHwzx7E=")</f>
        <v>#VALUE!</v>
      </c>
      <c r="FW12" t="e">
        <f>AND('Fungi &amp; Lichen'!P55,"AAAAAHwzx7I=")</f>
        <v>#VALUE!</v>
      </c>
      <c r="FX12" t="e">
        <f>AND('Fungi &amp; Lichen'!Q55,"AAAAAHwzx7M=")</f>
        <v>#VALUE!</v>
      </c>
      <c r="FY12" t="e">
        <f>AND('Fungi &amp; Lichen'!R55,"AAAAAHwzx7Q=")</f>
        <v>#VALUE!</v>
      </c>
      <c r="FZ12" t="e">
        <f>AND('Fungi &amp; Lichen'!S55,"AAAAAHwzx7U=")</f>
        <v>#VALUE!</v>
      </c>
      <c r="GA12" t="e">
        <f>AND('Fungi &amp; Lichen'!T55,"AAAAAHwzx7Y=")</f>
        <v>#VALUE!</v>
      </c>
      <c r="GB12" t="e">
        <f>AND('Fungi &amp; Lichen'!U55,"AAAAAHwzx7c=")</f>
        <v>#VALUE!</v>
      </c>
      <c r="GC12" t="e">
        <f>AND('Fungi &amp; Lichen'!V55,"AAAAAHwzx7g=")</f>
        <v>#VALUE!</v>
      </c>
      <c r="GD12">
        <f>IF('Fungi &amp; Lichen'!56:56,"AAAAAHwzx7k=",0)</f>
        <v>0</v>
      </c>
      <c r="GE12" t="e">
        <f>AND('Fungi &amp; Lichen'!A56,"AAAAAHwzx7o=")</f>
        <v>#VALUE!</v>
      </c>
      <c r="GF12" t="e">
        <f>AND('Fungi &amp; Lichen'!B56,"AAAAAHwzx7s=")</f>
        <v>#VALUE!</v>
      </c>
      <c r="GG12" t="e">
        <f>AND('Fungi &amp; Lichen'!C56,"AAAAAHwzx7w=")</f>
        <v>#VALUE!</v>
      </c>
      <c r="GH12" t="e">
        <f>AND('Fungi &amp; Lichen'!D56,"AAAAAHwzx70=")</f>
        <v>#VALUE!</v>
      </c>
      <c r="GI12" t="e">
        <f>AND('Fungi &amp; Lichen'!E56,"AAAAAHwzx74=")</f>
        <v>#VALUE!</v>
      </c>
      <c r="GJ12" t="e">
        <f>AND('Fungi &amp; Lichen'!F56,"AAAAAHwzx78=")</f>
        <v>#VALUE!</v>
      </c>
      <c r="GK12" t="e">
        <f>AND('Fungi &amp; Lichen'!G56,"AAAAAHwzx8A=")</f>
        <v>#VALUE!</v>
      </c>
      <c r="GL12" t="e">
        <f>AND('Fungi &amp; Lichen'!H56,"AAAAAHwzx8E=")</f>
        <v>#VALUE!</v>
      </c>
      <c r="GM12" t="e">
        <f>AND('Fungi &amp; Lichen'!I56,"AAAAAHwzx8I=")</f>
        <v>#VALUE!</v>
      </c>
      <c r="GN12" t="e">
        <f>AND('Fungi &amp; Lichen'!J56,"AAAAAHwzx8M=")</f>
        <v>#VALUE!</v>
      </c>
      <c r="GO12" t="e">
        <f>AND('Fungi &amp; Lichen'!K56,"AAAAAHwzx8Q=")</f>
        <v>#VALUE!</v>
      </c>
      <c r="GP12" t="e">
        <f>AND('Fungi &amp; Lichen'!L56,"AAAAAHwzx8U=")</f>
        <v>#VALUE!</v>
      </c>
      <c r="GQ12" t="e">
        <f>AND('Fungi &amp; Lichen'!M56,"AAAAAHwzx8Y=")</f>
        <v>#VALUE!</v>
      </c>
      <c r="GR12" t="e">
        <f>AND('Fungi &amp; Lichen'!N56,"AAAAAHwzx8c=")</f>
        <v>#VALUE!</v>
      </c>
      <c r="GS12" t="e">
        <f>AND('Fungi &amp; Lichen'!O56,"AAAAAHwzx8g=")</f>
        <v>#VALUE!</v>
      </c>
      <c r="GT12" t="e">
        <f>AND('Fungi &amp; Lichen'!P56,"AAAAAHwzx8k=")</f>
        <v>#VALUE!</v>
      </c>
      <c r="GU12" t="e">
        <f>AND('Fungi &amp; Lichen'!Q56,"AAAAAHwzx8o=")</f>
        <v>#VALUE!</v>
      </c>
      <c r="GV12" t="e">
        <f>AND('Fungi &amp; Lichen'!R56,"AAAAAHwzx8s=")</f>
        <v>#VALUE!</v>
      </c>
      <c r="GW12" t="e">
        <f>AND('Fungi &amp; Lichen'!S56,"AAAAAHwzx8w=")</f>
        <v>#VALUE!</v>
      </c>
      <c r="GX12" t="e">
        <f>AND('Fungi &amp; Lichen'!T56,"AAAAAHwzx80=")</f>
        <v>#VALUE!</v>
      </c>
      <c r="GY12" t="e">
        <f>AND('Fungi &amp; Lichen'!U56,"AAAAAHwzx84=")</f>
        <v>#VALUE!</v>
      </c>
      <c r="GZ12" t="e">
        <f>AND('Fungi &amp; Lichen'!V56,"AAAAAHwzx88=")</f>
        <v>#VALUE!</v>
      </c>
      <c r="HA12">
        <f>IF('Fungi &amp; Lichen'!57:57,"AAAAAHwzx9A=",0)</f>
        <v>0</v>
      </c>
      <c r="HB12" t="e">
        <f>AND('Fungi &amp; Lichen'!A57,"AAAAAHwzx9E=")</f>
        <v>#VALUE!</v>
      </c>
      <c r="HC12" t="e">
        <f>AND('Fungi &amp; Lichen'!B57,"AAAAAHwzx9I=")</f>
        <v>#VALUE!</v>
      </c>
      <c r="HD12" t="e">
        <f>AND('Fungi &amp; Lichen'!C57,"AAAAAHwzx9M=")</f>
        <v>#VALUE!</v>
      </c>
      <c r="HE12" t="e">
        <f>AND('Fungi &amp; Lichen'!D57,"AAAAAHwzx9Q=")</f>
        <v>#VALUE!</v>
      </c>
      <c r="HF12" t="e">
        <f>AND('Fungi &amp; Lichen'!E57,"AAAAAHwzx9U=")</f>
        <v>#VALUE!</v>
      </c>
      <c r="HG12" t="e">
        <f>AND('Fungi &amp; Lichen'!F57,"AAAAAHwzx9Y=")</f>
        <v>#VALUE!</v>
      </c>
      <c r="HH12" t="e">
        <f>AND('Fungi &amp; Lichen'!G57,"AAAAAHwzx9c=")</f>
        <v>#VALUE!</v>
      </c>
      <c r="HI12" t="e">
        <f>AND('Fungi &amp; Lichen'!H57,"AAAAAHwzx9g=")</f>
        <v>#VALUE!</v>
      </c>
      <c r="HJ12" t="e">
        <f>AND('Fungi &amp; Lichen'!I57,"AAAAAHwzx9k=")</f>
        <v>#VALUE!</v>
      </c>
      <c r="HK12" t="e">
        <f>AND('Fungi &amp; Lichen'!J57,"AAAAAHwzx9o=")</f>
        <v>#VALUE!</v>
      </c>
      <c r="HL12" t="e">
        <f>AND('Fungi &amp; Lichen'!K57,"AAAAAHwzx9s=")</f>
        <v>#VALUE!</v>
      </c>
      <c r="HM12" t="e">
        <f>AND('Fungi &amp; Lichen'!L57,"AAAAAHwzx9w=")</f>
        <v>#VALUE!</v>
      </c>
      <c r="HN12" t="e">
        <f>AND('Fungi &amp; Lichen'!M57,"AAAAAHwzx90=")</f>
        <v>#VALUE!</v>
      </c>
      <c r="HO12" t="e">
        <f>AND('Fungi &amp; Lichen'!N57,"AAAAAHwzx94=")</f>
        <v>#VALUE!</v>
      </c>
      <c r="HP12" t="e">
        <f>AND('Fungi &amp; Lichen'!O57,"AAAAAHwzx98=")</f>
        <v>#VALUE!</v>
      </c>
      <c r="HQ12" t="e">
        <f>AND('Fungi &amp; Lichen'!P57,"AAAAAHwzx+A=")</f>
        <v>#VALUE!</v>
      </c>
      <c r="HR12" t="e">
        <f>AND('Fungi &amp; Lichen'!Q57,"AAAAAHwzx+E=")</f>
        <v>#VALUE!</v>
      </c>
      <c r="HS12" t="e">
        <f>AND('Fungi &amp; Lichen'!R57,"AAAAAHwzx+I=")</f>
        <v>#VALUE!</v>
      </c>
      <c r="HT12" t="e">
        <f>AND('Fungi &amp; Lichen'!S57,"AAAAAHwzx+M=")</f>
        <v>#VALUE!</v>
      </c>
      <c r="HU12" t="e">
        <f>AND('Fungi &amp; Lichen'!T57,"AAAAAHwzx+Q=")</f>
        <v>#VALUE!</v>
      </c>
      <c r="HV12" t="e">
        <f>AND('Fungi &amp; Lichen'!U57,"AAAAAHwzx+U=")</f>
        <v>#VALUE!</v>
      </c>
      <c r="HW12" t="e">
        <f>AND('Fungi &amp; Lichen'!V57,"AAAAAHwzx+Y=")</f>
        <v>#VALUE!</v>
      </c>
      <c r="HX12">
        <f>IF('Fungi &amp; Lichen'!58:58,"AAAAAHwzx+c=",0)</f>
        <v>0</v>
      </c>
      <c r="HY12" t="e">
        <f>AND('Fungi &amp; Lichen'!A58,"AAAAAHwzx+g=")</f>
        <v>#VALUE!</v>
      </c>
      <c r="HZ12" t="e">
        <f>AND('Fungi &amp; Lichen'!B58,"AAAAAHwzx+k=")</f>
        <v>#VALUE!</v>
      </c>
      <c r="IA12" t="e">
        <f>AND('Fungi &amp; Lichen'!C58,"AAAAAHwzx+o=")</f>
        <v>#VALUE!</v>
      </c>
      <c r="IB12" t="e">
        <f>AND('Fungi &amp; Lichen'!D58,"AAAAAHwzx+s=")</f>
        <v>#VALUE!</v>
      </c>
      <c r="IC12" t="e">
        <f>AND('Fungi &amp; Lichen'!E58,"AAAAAHwzx+w=")</f>
        <v>#VALUE!</v>
      </c>
      <c r="ID12" t="e">
        <f>AND('Fungi &amp; Lichen'!F58,"AAAAAHwzx+0=")</f>
        <v>#VALUE!</v>
      </c>
      <c r="IE12" t="e">
        <f>AND('Fungi &amp; Lichen'!G58,"AAAAAHwzx+4=")</f>
        <v>#VALUE!</v>
      </c>
      <c r="IF12" t="e">
        <f>AND('Fungi &amp; Lichen'!H58,"AAAAAHwzx+8=")</f>
        <v>#VALUE!</v>
      </c>
      <c r="IG12" t="e">
        <f>AND('Fungi &amp; Lichen'!I58,"AAAAAHwzx/A=")</f>
        <v>#VALUE!</v>
      </c>
      <c r="IH12" t="e">
        <f>AND('Fungi &amp; Lichen'!J58,"AAAAAHwzx/E=")</f>
        <v>#VALUE!</v>
      </c>
      <c r="II12" t="e">
        <f>AND('Fungi &amp; Lichen'!K58,"AAAAAHwzx/I=")</f>
        <v>#VALUE!</v>
      </c>
      <c r="IJ12" t="e">
        <f>AND('Fungi &amp; Lichen'!L58,"AAAAAHwzx/M=")</f>
        <v>#VALUE!</v>
      </c>
      <c r="IK12" t="e">
        <f>AND('Fungi &amp; Lichen'!M58,"AAAAAHwzx/Q=")</f>
        <v>#VALUE!</v>
      </c>
      <c r="IL12" t="e">
        <f>AND('Fungi &amp; Lichen'!N58,"AAAAAHwzx/U=")</f>
        <v>#VALUE!</v>
      </c>
      <c r="IM12" t="e">
        <f>AND('Fungi &amp; Lichen'!O58,"AAAAAHwzx/Y=")</f>
        <v>#VALUE!</v>
      </c>
      <c r="IN12" t="e">
        <f>AND('Fungi &amp; Lichen'!P58,"AAAAAHwzx/c=")</f>
        <v>#VALUE!</v>
      </c>
      <c r="IO12" t="e">
        <f>AND('Fungi &amp; Lichen'!Q58,"AAAAAHwzx/g=")</f>
        <v>#VALUE!</v>
      </c>
      <c r="IP12" t="e">
        <f>AND('Fungi &amp; Lichen'!R58,"AAAAAHwzx/k=")</f>
        <v>#VALUE!</v>
      </c>
      <c r="IQ12" t="e">
        <f>AND('Fungi &amp; Lichen'!S58,"AAAAAHwzx/o=")</f>
        <v>#VALUE!</v>
      </c>
      <c r="IR12" t="e">
        <f>AND('Fungi &amp; Lichen'!T58,"AAAAAHwzx/s=")</f>
        <v>#VALUE!</v>
      </c>
      <c r="IS12" t="e">
        <f>AND('Fungi &amp; Lichen'!U58,"AAAAAHwzx/w=")</f>
        <v>#VALUE!</v>
      </c>
      <c r="IT12" t="e">
        <f>AND('Fungi &amp; Lichen'!V58,"AAAAAHwzx/0=")</f>
        <v>#VALUE!</v>
      </c>
      <c r="IU12">
        <f>IF('Fungi &amp; Lichen'!59:59,"AAAAAHwzx/4=",0)</f>
        <v>0</v>
      </c>
      <c r="IV12" t="e">
        <f>AND('Fungi &amp; Lichen'!A59,"AAAAAHwzx/8=")</f>
        <v>#VALUE!</v>
      </c>
    </row>
    <row r="13" spans="1:256">
      <c r="A13" t="e">
        <f>AND('Fungi &amp; Lichen'!B59,"AAAAAF7zuQA=")</f>
        <v>#VALUE!</v>
      </c>
      <c r="B13" t="e">
        <f>AND('Fungi &amp; Lichen'!C59,"AAAAAF7zuQE=")</f>
        <v>#VALUE!</v>
      </c>
      <c r="C13" t="e">
        <f>AND('Fungi &amp; Lichen'!D59,"AAAAAF7zuQI=")</f>
        <v>#VALUE!</v>
      </c>
      <c r="D13" t="e">
        <f>AND('Fungi &amp; Lichen'!E59,"AAAAAF7zuQM=")</f>
        <v>#VALUE!</v>
      </c>
      <c r="E13" t="e">
        <f>AND('Fungi &amp; Lichen'!F59,"AAAAAF7zuQQ=")</f>
        <v>#VALUE!</v>
      </c>
      <c r="F13" t="e">
        <f>AND('Fungi &amp; Lichen'!G59,"AAAAAF7zuQU=")</f>
        <v>#VALUE!</v>
      </c>
      <c r="G13" t="e">
        <f>AND('Fungi &amp; Lichen'!H59,"AAAAAF7zuQY=")</f>
        <v>#VALUE!</v>
      </c>
      <c r="H13" t="e">
        <f>AND('Fungi &amp; Lichen'!I59,"AAAAAF7zuQc=")</f>
        <v>#VALUE!</v>
      </c>
      <c r="I13" t="e">
        <f>AND('Fungi &amp; Lichen'!J59,"AAAAAF7zuQg=")</f>
        <v>#VALUE!</v>
      </c>
      <c r="J13" t="e">
        <f>AND('Fungi &amp; Lichen'!K59,"AAAAAF7zuQk=")</f>
        <v>#VALUE!</v>
      </c>
      <c r="K13" t="e">
        <f>AND('Fungi &amp; Lichen'!L59,"AAAAAF7zuQo=")</f>
        <v>#VALUE!</v>
      </c>
      <c r="L13" t="e">
        <f>AND('Fungi &amp; Lichen'!M59,"AAAAAF7zuQs=")</f>
        <v>#VALUE!</v>
      </c>
      <c r="M13" t="e">
        <f>AND('Fungi &amp; Lichen'!N59,"AAAAAF7zuQw=")</f>
        <v>#VALUE!</v>
      </c>
      <c r="N13" t="e">
        <f>AND('Fungi &amp; Lichen'!O59,"AAAAAF7zuQ0=")</f>
        <v>#VALUE!</v>
      </c>
      <c r="O13" t="e">
        <f>AND('Fungi &amp; Lichen'!P59,"AAAAAF7zuQ4=")</f>
        <v>#VALUE!</v>
      </c>
      <c r="P13" t="e">
        <f>AND('Fungi &amp; Lichen'!Q59,"AAAAAF7zuQ8=")</f>
        <v>#VALUE!</v>
      </c>
      <c r="Q13" t="e">
        <f>AND('Fungi &amp; Lichen'!R59,"AAAAAF7zuRA=")</f>
        <v>#VALUE!</v>
      </c>
      <c r="R13" t="e">
        <f>AND('Fungi &amp; Lichen'!S59,"AAAAAF7zuRE=")</f>
        <v>#VALUE!</v>
      </c>
      <c r="S13" t="e">
        <f>AND('Fungi &amp; Lichen'!T59,"AAAAAF7zuRI=")</f>
        <v>#VALUE!</v>
      </c>
      <c r="T13" t="e">
        <f>AND('Fungi &amp; Lichen'!U59,"AAAAAF7zuRM=")</f>
        <v>#VALUE!</v>
      </c>
      <c r="U13" t="e">
        <f>AND('Fungi &amp; Lichen'!V59,"AAAAAF7zuRQ=")</f>
        <v>#VALUE!</v>
      </c>
      <c r="V13">
        <f>IF('Fungi &amp; Lichen'!60:60,"AAAAAF7zuRU=",0)</f>
        <v>0</v>
      </c>
      <c r="W13">
        <f>IF('Fungi &amp; Lichen'!61:61,"AAAAAF7zuRY=",0)</f>
        <v>0</v>
      </c>
      <c r="X13">
        <f>IF('Fungi &amp; Lichen'!62:62,"AAAAAF7zuRc=",0)</f>
        <v>0</v>
      </c>
      <c r="Y13">
        <f>IF('Fungi &amp; Lichen'!63:63,"AAAAAF7zuRg=",0)</f>
        <v>0</v>
      </c>
      <c r="Z13">
        <f>IF('Fungi &amp; Lichen'!64:64,"AAAAAF7zuRk=",0)</f>
        <v>0</v>
      </c>
      <c r="AA13">
        <f>IF('Fungi &amp; Lichen'!65:65,"AAAAAF7zuRo=",0)</f>
        <v>0</v>
      </c>
      <c r="AB13">
        <f>IF('Fungi &amp; Lichen'!66:66,"AAAAAF7zuRs=",0)</f>
        <v>0</v>
      </c>
      <c r="AC13">
        <f>IF('Fungi &amp; Lichen'!67:67,"AAAAAF7zuRw=",0)</f>
        <v>0</v>
      </c>
      <c r="AD13">
        <f>IF('Fungi &amp; Lichen'!68:68,"AAAAAF7zuR0=",0)</f>
        <v>0</v>
      </c>
      <c r="AE13">
        <f>IF('Fungi &amp; Lichen'!69:69,"AAAAAF7zuR4=",0)</f>
        <v>0</v>
      </c>
      <c r="AF13">
        <f>IF('Fungi &amp; Lichen'!70:70,"AAAAAF7zuR8=",0)</f>
        <v>0</v>
      </c>
      <c r="AG13">
        <f>IF('Fungi &amp; Lichen'!71:71,"AAAAAF7zuSA=",0)</f>
        <v>0</v>
      </c>
      <c r="AH13">
        <f>IF('Fungi &amp; Lichen'!72:72,"AAAAAF7zuSE=",0)</f>
        <v>0</v>
      </c>
      <c r="AI13">
        <f>IF('Fungi &amp; Lichen'!73:73,"AAAAAF7zuSI=",0)</f>
        <v>0</v>
      </c>
      <c r="AJ13">
        <f>IF('Fungi &amp; Lichen'!74:74,"AAAAAF7zuSM=",0)</f>
        <v>0</v>
      </c>
      <c r="AK13">
        <f>IF('Fungi &amp; Lichen'!75:75,"AAAAAF7zuSQ=",0)</f>
        <v>0</v>
      </c>
      <c r="AL13">
        <f>IF('Fungi &amp; Lichen'!76:76,"AAAAAF7zuSU=",0)</f>
        <v>0</v>
      </c>
      <c r="AM13">
        <f>IF('Fungi &amp; Lichen'!77:77,"AAAAAF7zuSY=",0)</f>
        <v>0</v>
      </c>
      <c r="AN13">
        <f>IF('Fungi &amp; Lichen'!78:78,"AAAAAF7zuSc=",0)</f>
        <v>0</v>
      </c>
      <c r="AO13">
        <f>IF('Fungi &amp; Lichen'!79:79,"AAAAAF7zuSg=",0)</f>
        <v>0</v>
      </c>
      <c r="AP13">
        <f>IF('Fungi &amp; Lichen'!80:80,"AAAAAF7zuSk=",0)</f>
        <v>0</v>
      </c>
      <c r="AQ13">
        <f>IF('Fungi &amp; Lichen'!81:81,"AAAAAF7zuSo=",0)</f>
        <v>0</v>
      </c>
      <c r="AR13">
        <f>IF('Fungi &amp; Lichen'!82:82,"AAAAAF7zuSs=",0)</f>
        <v>0</v>
      </c>
      <c r="AS13">
        <f>IF('Fungi &amp; Lichen'!83:83,"AAAAAF7zuSw=",0)</f>
        <v>0</v>
      </c>
      <c r="AT13">
        <f>IF('Fungi &amp; Lichen'!84:84,"AAAAAF7zuS0=",0)</f>
        <v>0</v>
      </c>
      <c r="AU13">
        <f>IF('Fungi &amp; Lichen'!85:85,"AAAAAF7zuS4=",0)</f>
        <v>0</v>
      </c>
      <c r="AV13">
        <f>IF('Fungi &amp; Lichen'!86:86,"AAAAAF7zuS8=",0)</f>
        <v>0</v>
      </c>
      <c r="AW13">
        <f>IF('Fungi &amp; Lichen'!87:87,"AAAAAF7zuTA=",0)</f>
        <v>0</v>
      </c>
      <c r="AX13">
        <f>IF('Fungi &amp; Lichen'!88:88,"AAAAAF7zuTE=",0)</f>
        <v>0</v>
      </c>
      <c r="AY13">
        <f>IF('Fungi &amp; Lichen'!89:89,"AAAAAF7zuTI=",0)</f>
        <v>0</v>
      </c>
      <c r="AZ13">
        <f>IF('Fungi &amp; Lichen'!90:90,"AAAAAF7zuTM=",0)</f>
        <v>0</v>
      </c>
      <c r="BA13">
        <f>IF('Fungi &amp; Lichen'!91:91,"AAAAAF7zuTQ=",0)</f>
        <v>0</v>
      </c>
      <c r="BB13">
        <f>IF('Fungi &amp; Lichen'!92:92,"AAAAAF7zuTU=",0)</f>
        <v>0</v>
      </c>
      <c r="BC13">
        <f>IF('Fungi &amp; Lichen'!93:93,"AAAAAF7zuTY=",0)</f>
        <v>0</v>
      </c>
      <c r="BD13">
        <f>IF('Fungi &amp; Lichen'!94:94,"AAAAAF7zuTc=",0)</f>
        <v>0</v>
      </c>
      <c r="BE13">
        <f>IF('Fungi &amp; Lichen'!95:95,"AAAAAF7zuTg=",0)</f>
        <v>0</v>
      </c>
      <c r="BF13">
        <f>IF('Fungi &amp; Lichen'!96:96,"AAAAAF7zuTk=",0)</f>
        <v>0</v>
      </c>
      <c r="BG13">
        <f>IF('Fungi &amp; Lichen'!97:97,"AAAAAF7zuTo=",0)</f>
        <v>0</v>
      </c>
      <c r="BH13">
        <f>IF('Fungi &amp; Lichen'!98:98,"AAAAAF7zuTs=",0)</f>
        <v>0</v>
      </c>
      <c r="BI13">
        <f>IF('Fungi &amp; Lichen'!99:99,"AAAAAF7zuTw=",0)</f>
        <v>0</v>
      </c>
      <c r="BJ13">
        <f>IF('Fungi &amp; Lichen'!100:100,"AAAAAF7zuT0=",0)</f>
        <v>0</v>
      </c>
      <c r="BK13">
        <f>IF('Fungi &amp; Lichen'!101:101,"AAAAAF7zuT4=",0)</f>
        <v>0</v>
      </c>
      <c r="BL13">
        <f>IF('Fungi &amp; Lichen'!102:102,"AAAAAF7zuT8=",0)</f>
        <v>0</v>
      </c>
      <c r="BM13">
        <f>IF('Fungi &amp; Lichen'!103:103,"AAAAAF7zuUA=",0)</f>
        <v>0</v>
      </c>
      <c r="BN13">
        <f>IF('Fungi &amp; Lichen'!104:104,"AAAAAF7zuUE=",0)</f>
        <v>0</v>
      </c>
      <c r="BO13">
        <f>IF('Fungi &amp; Lichen'!105:105,"AAAAAF7zuUI=",0)</f>
        <v>0</v>
      </c>
      <c r="BP13">
        <f>IF('Fungi &amp; Lichen'!106:106,"AAAAAF7zuUM=",0)</f>
        <v>0</v>
      </c>
      <c r="BQ13">
        <f>IF('Fungi &amp; Lichen'!107:107,"AAAAAF7zuUQ=",0)</f>
        <v>0</v>
      </c>
      <c r="BR13">
        <f>IF('Fungi &amp; Lichen'!108:108,"AAAAAF7zuUU=",0)</f>
        <v>0</v>
      </c>
      <c r="BS13">
        <f>IF('Fungi &amp; Lichen'!109:109,"AAAAAF7zuUY=",0)</f>
        <v>0</v>
      </c>
      <c r="BT13">
        <f>IF('Fungi &amp; Lichen'!110:110,"AAAAAF7zuUc=",0)</f>
        <v>0</v>
      </c>
      <c r="BU13">
        <f>IF('Fungi &amp; Lichen'!111:111,"AAAAAF7zuUg=",0)</f>
        <v>0</v>
      </c>
      <c r="BV13">
        <f>IF('Fungi &amp; Lichen'!112:112,"AAAAAF7zuUk=",0)</f>
        <v>0</v>
      </c>
      <c r="BW13">
        <f>IF('Fungi &amp; Lichen'!113:113,"AAAAAF7zuUo=",0)</f>
        <v>0</v>
      </c>
      <c r="BX13">
        <f>IF('Fungi &amp; Lichen'!114:114,"AAAAAF7zuUs=",0)</f>
        <v>0</v>
      </c>
      <c r="BY13">
        <f>IF('Fungi &amp; Lichen'!115:115,"AAAAAF7zuUw=",0)</f>
        <v>0</v>
      </c>
      <c r="BZ13">
        <f>IF('Fungi &amp; Lichen'!116:116,"AAAAAF7zuU0=",0)</f>
        <v>0</v>
      </c>
      <c r="CA13">
        <f>IF('Fungi &amp; Lichen'!117:117,"AAAAAF7zuU4=",0)</f>
        <v>0</v>
      </c>
      <c r="CB13">
        <f>IF('Fungi &amp; Lichen'!118:118,"AAAAAF7zuU8=",0)</f>
        <v>0</v>
      </c>
      <c r="CC13">
        <f>IF('Fungi &amp; Lichen'!119:119,"AAAAAF7zuVA=",0)</f>
        <v>0</v>
      </c>
      <c r="CD13">
        <f>IF('Fungi &amp; Lichen'!120:120,"AAAAAF7zuVE=",0)</f>
        <v>0</v>
      </c>
      <c r="CE13">
        <f>IF('Fungi &amp; Lichen'!121:121,"AAAAAF7zuVI=",0)</f>
        <v>0</v>
      </c>
      <c r="CF13">
        <f>IF('Fungi &amp; Lichen'!122:122,"AAAAAF7zuVM=",0)</f>
        <v>0</v>
      </c>
      <c r="CG13">
        <f>IF('Fungi &amp; Lichen'!123:123,"AAAAAF7zuVQ=",0)</f>
        <v>0</v>
      </c>
      <c r="CH13">
        <f>IF('Fungi &amp; Lichen'!124:124,"AAAAAF7zuVU=",0)</f>
        <v>0</v>
      </c>
      <c r="CI13">
        <f>IF('Fungi &amp; Lichen'!125:125,"AAAAAF7zuVY=",0)</f>
        <v>0</v>
      </c>
      <c r="CJ13">
        <f>IF('Fungi &amp; Lichen'!126:126,"AAAAAF7zuVc=",0)</f>
        <v>0</v>
      </c>
      <c r="CK13">
        <f>IF('Fungi &amp; Lichen'!127:127,"AAAAAF7zuVg=",0)</f>
        <v>0</v>
      </c>
      <c r="CL13">
        <f>IF('Fungi &amp; Lichen'!128:128,"AAAAAF7zuVk=",0)</f>
        <v>0</v>
      </c>
      <c r="CM13">
        <f>IF('Fungi &amp; Lichen'!129:129,"AAAAAF7zuVo=",0)</f>
        <v>0</v>
      </c>
      <c r="CN13">
        <f>IF('Fungi &amp; Lichen'!130:130,"AAAAAF7zuVs=",0)</f>
        <v>0</v>
      </c>
      <c r="CO13">
        <f>IF('Fungi &amp; Lichen'!131:131,"AAAAAF7zuVw=",0)</f>
        <v>0</v>
      </c>
      <c r="CP13">
        <f>IF('Fungi &amp; Lichen'!132:132,"AAAAAF7zuV0=",0)</f>
        <v>0</v>
      </c>
      <c r="CQ13">
        <f>IF('Fungi &amp; Lichen'!133:133,"AAAAAF7zuV4=",0)</f>
        <v>0</v>
      </c>
      <c r="CR13">
        <f>IF('Fungi &amp; Lichen'!134:134,"AAAAAF7zuV8=",0)</f>
        <v>0</v>
      </c>
      <c r="CS13">
        <f>IF('Fungi &amp; Lichen'!135:135,"AAAAAF7zuWA=",0)</f>
        <v>0</v>
      </c>
      <c r="CT13">
        <f>IF('Fungi &amp; Lichen'!136:136,"AAAAAF7zuWE=",0)</f>
        <v>0</v>
      </c>
      <c r="CU13">
        <f>IF('Fungi &amp; Lichen'!137:137,"AAAAAF7zuWI=",0)</f>
        <v>0</v>
      </c>
      <c r="CV13">
        <f>IF('Fungi &amp; Lichen'!138:138,"AAAAAF7zuWM=",0)</f>
        <v>0</v>
      </c>
      <c r="CW13">
        <f>IF('Fungi &amp; Lichen'!139:139,"AAAAAF7zuWQ=",0)</f>
        <v>0</v>
      </c>
      <c r="CX13">
        <f>IF('Fungi &amp; Lichen'!140:140,"AAAAAF7zuWU=",0)</f>
        <v>0</v>
      </c>
      <c r="CY13">
        <f>IF('Fungi &amp; Lichen'!141:141,"AAAAAF7zuWY=",0)</f>
        <v>0</v>
      </c>
      <c r="CZ13">
        <f>IF('Fungi &amp; Lichen'!142:142,"AAAAAF7zuWc=",0)</f>
        <v>0</v>
      </c>
      <c r="DA13">
        <f>IF('Fungi &amp; Lichen'!143:143,"AAAAAF7zuWg=",0)</f>
        <v>0</v>
      </c>
      <c r="DB13">
        <f>IF('Fungi &amp; Lichen'!144:144,"AAAAAF7zuWk=",0)</f>
        <v>0</v>
      </c>
      <c r="DC13">
        <f>IF('Fungi &amp; Lichen'!145:145,"AAAAAF7zuWo=",0)</f>
        <v>0</v>
      </c>
      <c r="DD13">
        <f>IF('Fungi &amp; Lichen'!146:146,"AAAAAF7zuWs=",0)</f>
        <v>0</v>
      </c>
      <c r="DE13">
        <f>IF('Fungi &amp; Lichen'!147:147,"AAAAAF7zuWw=",0)</f>
        <v>0</v>
      </c>
      <c r="DF13">
        <f>IF('Fungi &amp; Lichen'!148:148,"AAAAAF7zuW0=",0)</f>
        <v>0</v>
      </c>
      <c r="DG13">
        <f>IF('Fungi &amp; Lichen'!149:149,"AAAAAF7zuW4=",0)</f>
        <v>0</v>
      </c>
      <c r="DH13">
        <f>IF('Fungi &amp; Lichen'!150:150,"AAAAAF7zuW8=",0)</f>
        <v>0</v>
      </c>
      <c r="DI13">
        <f>IF('Fungi &amp; Lichen'!151:151,"AAAAAF7zuXA=",0)</f>
        <v>0</v>
      </c>
      <c r="DJ13">
        <f>IF('Fungi &amp; Lichen'!152:152,"AAAAAF7zuXE=",0)</f>
        <v>0</v>
      </c>
      <c r="DK13">
        <f>IF('Fungi &amp; Lichen'!153:153,"AAAAAF7zuXI=",0)</f>
        <v>0</v>
      </c>
      <c r="DL13">
        <f>IF('Fungi &amp; Lichen'!154:154,"AAAAAF7zuXM=",0)</f>
        <v>0</v>
      </c>
      <c r="DM13">
        <f>IF('Fungi &amp; Lichen'!155:155,"AAAAAF7zuXQ=",0)</f>
        <v>0</v>
      </c>
      <c r="DN13">
        <f>IF('Fungi &amp; Lichen'!156:156,"AAAAAF7zuXU=",0)</f>
        <v>0</v>
      </c>
      <c r="DO13">
        <f>IF('Fungi &amp; Lichen'!157:157,"AAAAAF7zuXY=",0)</f>
        <v>0</v>
      </c>
      <c r="DP13">
        <f>IF('Fungi &amp; Lichen'!158:158,"AAAAAF7zuXc=",0)</f>
        <v>0</v>
      </c>
      <c r="DQ13">
        <f>IF('Fungi &amp; Lichen'!159:159,"AAAAAF7zuXg=",0)</f>
        <v>0</v>
      </c>
      <c r="DR13">
        <f>IF('Fungi &amp; Lichen'!160:160,"AAAAAF7zuXk=",0)</f>
        <v>0</v>
      </c>
      <c r="DS13">
        <f>IF('Fungi &amp; Lichen'!161:161,"AAAAAF7zuXo=",0)</f>
        <v>0</v>
      </c>
      <c r="DT13">
        <f>IF('Fungi &amp; Lichen'!162:162,"AAAAAF7zuXs=",0)</f>
        <v>0</v>
      </c>
      <c r="DU13">
        <f>IF('Fungi &amp; Lichen'!163:163,"AAAAAF7zuXw=",0)</f>
        <v>0</v>
      </c>
      <c r="DV13">
        <f>IF('Fungi &amp; Lichen'!164:164,"AAAAAF7zuX0=",0)</f>
        <v>0</v>
      </c>
      <c r="DW13">
        <f>IF('Fungi &amp; Lichen'!165:165,"AAAAAF7zuX4=",0)</f>
        <v>0</v>
      </c>
      <c r="DX13">
        <f>IF('Fungi &amp; Lichen'!166:166,"AAAAAF7zuX8=",0)</f>
        <v>0</v>
      </c>
      <c r="DY13">
        <f>IF('Fungi &amp; Lichen'!167:167,"AAAAAF7zuYA=",0)</f>
        <v>0</v>
      </c>
      <c r="DZ13">
        <f>IF('Fungi &amp; Lichen'!168:168,"AAAAAF7zuYE=",0)</f>
        <v>0</v>
      </c>
      <c r="EA13">
        <f>IF('Fungi &amp; Lichen'!169:169,"AAAAAF7zuYI=",0)</f>
        <v>0</v>
      </c>
      <c r="EB13">
        <f>IF('Fungi &amp; Lichen'!170:170,"AAAAAF7zuYM=",0)</f>
        <v>0</v>
      </c>
      <c r="EC13">
        <f>IF('Fungi &amp; Lichen'!171:171,"AAAAAF7zuYQ=",0)</f>
        <v>0</v>
      </c>
      <c r="ED13">
        <f>IF('Fungi &amp; Lichen'!172:172,"AAAAAF7zuYU=",0)</f>
        <v>0</v>
      </c>
      <c r="EE13">
        <f>IF('Fungi &amp; Lichen'!173:173,"AAAAAF7zuYY=",0)</f>
        <v>0</v>
      </c>
      <c r="EF13">
        <f>IF('Fungi &amp; Lichen'!174:174,"AAAAAF7zuYc=",0)</f>
        <v>0</v>
      </c>
      <c r="EG13">
        <f>IF('Fungi &amp; Lichen'!175:175,"AAAAAF7zuYg=",0)</f>
        <v>0</v>
      </c>
      <c r="EH13">
        <f>IF('Fungi &amp; Lichen'!176:176,"AAAAAF7zuYk=",0)</f>
        <v>0</v>
      </c>
      <c r="EI13">
        <f>IF('Fungi &amp; Lichen'!177:177,"AAAAAF7zuYo=",0)</f>
        <v>0</v>
      </c>
      <c r="EJ13">
        <f>IF('Fungi &amp; Lichen'!178:178,"AAAAAF7zuYs=",0)</f>
        <v>0</v>
      </c>
      <c r="EK13">
        <f>IF('Fungi &amp; Lichen'!179:179,"AAAAAF7zuYw=",0)</f>
        <v>0</v>
      </c>
      <c r="EL13">
        <f>IF('Fungi &amp; Lichen'!180:180,"AAAAAF7zuY0=",0)</f>
        <v>0</v>
      </c>
      <c r="EM13">
        <f>IF('Fungi &amp; Lichen'!181:181,"AAAAAF7zuY4=",0)</f>
        <v>0</v>
      </c>
      <c r="EN13">
        <f>IF('Fungi &amp; Lichen'!182:182,"AAAAAF7zuY8=",0)</f>
        <v>0</v>
      </c>
      <c r="EO13">
        <f>IF('Fungi &amp; Lichen'!183:183,"AAAAAF7zuZA=",0)</f>
        <v>0</v>
      </c>
      <c r="EP13">
        <f>IF('Fungi &amp; Lichen'!184:184,"AAAAAF7zuZE=",0)</f>
        <v>0</v>
      </c>
      <c r="EQ13">
        <f>IF('Fungi &amp; Lichen'!185:185,"AAAAAF7zuZI=",0)</f>
        <v>0</v>
      </c>
      <c r="ER13">
        <f>IF('Fungi &amp; Lichen'!186:186,"AAAAAF7zuZM=",0)</f>
        <v>0</v>
      </c>
      <c r="ES13">
        <f>IF('Fungi &amp; Lichen'!187:187,"AAAAAF7zuZQ=",0)</f>
        <v>0</v>
      </c>
      <c r="ET13">
        <f>IF('Fungi &amp; Lichen'!188:188,"AAAAAF7zuZU=",0)</f>
        <v>0</v>
      </c>
      <c r="EU13">
        <f>IF('Fungi &amp; Lichen'!189:189,"AAAAAF7zuZY=",0)</f>
        <v>0</v>
      </c>
      <c r="EV13">
        <f>IF('Fungi &amp; Lichen'!190:190,"AAAAAF7zuZc=",0)</f>
        <v>0</v>
      </c>
      <c r="EW13">
        <f>IF('Fungi &amp; Lichen'!191:191,"AAAAAF7zuZg=",0)</f>
        <v>0</v>
      </c>
      <c r="EX13">
        <f>IF('Fungi &amp; Lichen'!192:192,"AAAAAF7zuZk=",0)</f>
        <v>0</v>
      </c>
      <c r="EY13">
        <f>IF('Fungi &amp; Lichen'!193:193,"AAAAAF7zuZo=",0)</f>
        <v>0</v>
      </c>
      <c r="EZ13">
        <f>IF('Fungi &amp; Lichen'!194:194,"AAAAAF7zuZs=",0)</f>
        <v>0</v>
      </c>
      <c r="FA13">
        <f>IF('Fungi &amp; Lichen'!195:195,"AAAAAF7zuZw=",0)</f>
        <v>0</v>
      </c>
      <c r="FB13">
        <f>IF('Fungi &amp; Lichen'!196:196,"AAAAAF7zuZ0=",0)</f>
        <v>0</v>
      </c>
      <c r="FC13">
        <f>IF('Fungi &amp; Lichen'!197:197,"AAAAAF7zuZ4=",0)</f>
        <v>0</v>
      </c>
      <c r="FD13">
        <f>IF('Fungi &amp; Lichen'!198:198,"AAAAAF7zuZ8=",0)</f>
        <v>0</v>
      </c>
      <c r="FE13">
        <f>IF('Fungi &amp; Lichen'!199:199,"AAAAAF7zuaA=",0)</f>
        <v>0</v>
      </c>
      <c r="FF13">
        <f>IF('Fungi &amp; Lichen'!200:200,"AAAAAF7zuaE=",0)</f>
        <v>0</v>
      </c>
      <c r="FG13">
        <f>IF('Fungi &amp; Lichen'!201:201,"AAAAAF7zuaI=",0)</f>
        <v>0</v>
      </c>
      <c r="FH13">
        <f>IF('Fungi &amp; Lichen'!202:202,"AAAAAF7zuaM=",0)</f>
        <v>0</v>
      </c>
      <c r="FI13">
        <f>IF('Fungi &amp; Lichen'!203:203,"AAAAAF7zuaQ=",0)</f>
        <v>0</v>
      </c>
      <c r="FJ13">
        <f>IF('Fungi &amp; Lichen'!204:204,"AAAAAF7zuaU=",0)</f>
        <v>0</v>
      </c>
      <c r="FK13">
        <f>IF('Fungi &amp; Lichen'!205:205,"AAAAAF7zuaY=",0)</f>
        <v>0</v>
      </c>
      <c r="FL13">
        <f>IF('Fungi &amp; Lichen'!206:206,"AAAAAF7zuac=",0)</f>
        <v>0</v>
      </c>
      <c r="FM13">
        <f>IF('Fungi &amp; Lichen'!207:207,"AAAAAF7zuag=",0)</f>
        <v>0</v>
      </c>
      <c r="FN13">
        <f>IF('Fungi &amp; Lichen'!208:208,"AAAAAF7zuak=",0)</f>
        <v>0</v>
      </c>
      <c r="FO13">
        <f>IF('Fungi &amp; Lichen'!209:209,"AAAAAF7zuao=",0)</f>
        <v>0</v>
      </c>
      <c r="FP13">
        <f>IF('Fungi &amp; Lichen'!210:210,"AAAAAF7zuas=",0)</f>
        <v>0</v>
      </c>
      <c r="FQ13">
        <f>IF('Fungi &amp; Lichen'!211:211,"AAAAAF7zuaw=",0)</f>
        <v>0</v>
      </c>
      <c r="FR13">
        <f>IF('Fungi &amp; Lichen'!212:212,"AAAAAF7zua0=",0)</f>
        <v>0</v>
      </c>
      <c r="FS13">
        <f>IF('Fungi &amp; Lichen'!213:213,"AAAAAF7zua4=",0)</f>
        <v>0</v>
      </c>
      <c r="FT13">
        <f>IF('Fungi &amp; Lichen'!214:214,"AAAAAF7zua8=",0)</f>
        <v>0</v>
      </c>
      <c r="FU13">
        <f>IF('Fungi &amp; Lichen'!215:215,"AAAAAF7zubA=",0)</f>
        <v>0</v>
      </c>
      <c r="FV13">
        <f>IF('Fungi &amp; Lichen'!216:216,"AAAAAF7zubE=",0)</f>
        <v>0</v>
      </c>
      <c r="FW13">
        <f>IF('Fungi &amp; Lichen'!217:217,"AAAAAF7zubI=",0)</f>
        <v>0</v>
      </c>
      <c r="FX13">
        <f>IF('Fungi &amp; Lichen'!218:218,"AAAAAF7zubM=",0)</f>
        <v>0</v>
      </c>
      <c r="FY13">
        <f>IF('Fungi &amp; Lichen'!219:219,"AAAAAF7zubQ=",0)</f>
        <v>0</v>
      </c>
      <c r="FZ13">
        <f>IF('Fungi &amp; Lichen'!220:220,"AAAAAF7zubU=",0)</f>
        <v>0</v>
      </c>
      <c r="GA13">
        <f>IF('Fungi &amp; Lichen'!221:221,"AAAAAF7zubY=",0)</f>
        <v>0</v>
      </c>
      <c r="GB13">
        <f>IF('Fungi &amp; Lichen'!222:222,"AAAAAF7zubc=",0)</f>
        <v>0</v>
      </c>
      <c r="GC13">
        <f>IF('Fungi &amp; Lichen'!223:223,"AAAAAF7zubg=",0)</f>
        <v>0</v>
      </c>
      <c r="GD13">
        <f>IF('Fungi &amp; Lichen'!224:224,"AAAAAF7zubk=",0)</f>
        <v>0</v>
      </c>
      <c r="GE13">
        <f>IF('Fungi &amp; Lichen'!225:225,"AAAAAF7zubo=",0)</f>
        <v>0</v>
      </c>
      <c r="GF13">
        <f>IF('Fungi &amp; Lichen'!226:226,"AAAAAF7zubs=",0)</f>
        <v>0</v>
      </c>
      <c r="GG13">
        <f>IF('Fungi &amp; Lichen'!227:227,"AAAAAF7zubw=",0)</f>
        <v>0</v>
      </c>
      <c r="GH13">
        <f>IF('Fungi &amp; Lichen'!228:228,"AAAAAF7zub0=",0)</f>
        <v>0</v>
      </c>
      <c r="GI13">
        <f>IF('Fungi &amp; Lichen'!229:229,"AAAAAF7zub4=",0)</f>
        <v>0</v>
      </c>
      <c r="GJ13">
        <f>IF('Fungi &amp; Lichen'!230:230,"AAAAAF7zub8=",0)</f>
        <v>0</v>
      </c>
      <c r="GK13">
        <f>IF('Fungi &amp; Lichen'!231:231,"AAAAAF7zucA=",0)</f>
        <v>0</v>
      </c>
      <c r="GL13">
        <f>IF('Fungi &amp; Lichen'!232:232,"AAAAAF7zucE=",0)</f>
        <v>0</v>
      </c>
      <c r="GM13">
        <f>IF('Fungi &amp; Lichen'!233:233,"AAAAAF7zucI=",0)</f>
        <v>0</v>
      </c>
      <c r="GN13">
        <f>IF('Fungi &amp; Lichen'!234:234,"AAAAAF7zucM=",0)</f>
        <v>0</v>
      </c>
      <c r="GO13">
        <f>IF('Fungi &amp; Lichen'!235:235,"AAAAAF7zucQ=",0)</f>
        <v>0</v>
      </c>
      <c r="GP13">
        <f>IF('Fungi &amp; Lichen'!236:236,"AAAAAF7zucU=",0)</f>
        <v>0</v>
      </c>
      <c r="GQ13">
        <f>IF('Fungi &amp; Lichen'!237:237,"AAAAAF7zucY=",0)</f>
        <v>0</v>
      </c>
      <c r="GR13">
        <f>IF('Fungi &amp; Lichen'!238:238,"AAAAAF7zucc=",0)</f>
        <v>0</v>
      </c>
      <c r="GS13">
        <f>IF('Fungi &amp; Lichen'!239:239,"AAAAAF7zucg=",0)</f>
        <v>0</v>
      </c>
      <c r="GT13">
        <f>IF('Fungi &amp; Lichen'!240:240,"AAAAAF7zuck=",0)</f>
        <v>0</v>
      </c>
      <c r="GU13">
        <f>IF('Fungi &amp; Lichen'!241:241,"AAAAAF7zuco=",0)</f>
        <v>0</v>
      </c>
      <c r="GV13">
        <f>IF('Fungi &amp; Lichen'!242:242,"AAAAAF7zucs=",0)</f>
        <v>0</v>
      </c>
      <c r="GW13">
        <f>IF('Fungi &amp; Lichen'!243:243,"AAAAAF7zucw=",0)</f>
        <v>0</v>
      </c>
      <c r="GX13">
        <f>IF('Fungi &amp; Lichen'!244:244,"AAAAAF7zuc0=",0)</f>
        <v>0</v>
      </c>
      <c r="GY13">
        <f>IF('Fungi &amp; Lichen'!245:245,"AAAAAF7zuc4=",0)</f>
        <v>0</v>
      </c>
      <c r="GZ13">
        <f>IF('Fungi &amp; Lichen'!246:246,"AAAAAF7zuc8=",0)</f>
        <v>0</v>
      </c>
      <c r="HA13">
        <f>IF('Fungi &amp; Lichen'!247:247,"AAAAAF7zudA=",0)</f>
        <v>0</v>
      </c>
      <c r="HB13">
        <f>IF('Fungi &amp; Lichen'!248:248,"AAAAAF7zudE=",0)</f>
        <v>0</v>
      </c>
      <c r="HC13">
        <f>IF('Fungi &amp; Lichen'!249:249,"AAAAAF7zudI=",0)</f>
        <v>0</v>
      </c>
      <c r="HD13">
        <f>IF('Fungi &amp; Lichen'!250:250,"AAAAAF7zudM=",0)</f>
        <v>0</v>
      </c>
      <c r="HE13">
        <f>IF('Fungi &amp; Lichen'!251:251,"AAAAAF7zudQ=",0)</f>
        <v>0</v>
      </c>
      <c r="HF13">
        <f>IF('Fungi &amp; Lichen'!252:252,"AAAAAF7zudU=",0)</f>
        <v>0</v>
      </c>
      <c r="HG13">
        <f>IF('Fungi &amp; Lichen'!253:253,"AAAAAF7zudY=",0)</f>
        <v>0</v>
      </c>
      <c r="HH13">
        <f>IF('Fungi &amp; Lichen'!254:254,"AAAAAF7zudc=",0)</f>
        <v>0</v>
      </c>
      <c r="HI13">
        <f>IF('Fungi &amp; Lichen'!255:255,"AAAAAF7zudg=",0)</f>
        <v>0</v>
      </c>
      <c r="HJ13">
        <f>IF('Fungi &amp; Lichen'!256:256,"AAAAAF7zudk=",0)</f>
        <v>0</v>
      </c>
      <c r="HK13">
        <f>IF('Fungi &amp; Lichen'!257:257,"AAAAAF7zudo=",0)</f>
        <v>0</v>
      </c>
      <c r="HL13">
        <f>IF('Fungi &amp; Lichen'!258:258,"AAAAAF7zuds=",0)</f>
        <v>0</v>
      </c>
      <c r="HM13">
        <f>IF('Fungi &amp; Lichen'!259:259,"AAAAAF7zudw=",0)</f>
        <v>0</v>
      </c>
      <c r="HN13">
        <f>IF('Fungi &amp; Lichen'!260:260,"AAAAAF7zud0=",0)</f>
        <v>0</v>
      </c>
      <c r="HO13">
        <f>IF('Fungi &amp; Lichen'!261:261,"AAAAAF7zud4=",0)</f>
        <v>0</v>
      </c>
      <c r="HP13">
        <f>IF('Fungi &amp; Lichen'!262:262,"AAAAAF7zud8=",0)</f>
        <v>0</v>
      </c>
      <c r="HQ13">
        <f>IF('Fungi &amp; Lichen'!263:263,"AAAAAF7zueA=",0)</f>
        <v>0</v>
      </c>
      <c r="HR13">
        <f>IF('Fungi &amp; Lichen'!264:264,"AAAAAF7zueE=",0)</f>
        <v>0</v>
      </c>
      <c r="HS13">
        <f>IF('Fungi &amp; Lichen'!265:265,"AAAAAF7zueI=",0)</f>
        <v>0</v>
      </c>
      <c r="HT13">
        <f>IF('Fungi &amp; Lichen'!266:266,"AAAAAF7zueM=",0)</f>
        <v>0</v>
      </c>
      <c r="HU13">
        <f>IF('Fungi &amp; Lichen'!267:267,"AAAAAF7zueQ=",0)</f>
        <v>0</v>
      </c>
      <c r="HV13">
        <f>IF('Fungi &amp; Lichen'!268:268,"AAAAAF7zueU=",0)</f>
        <v>0</v>
      </c>
      <c r="HW13">
        <f>IF('Fungi &amp; Lichen'!269:269,"AAAAAF7zueY=",0)</f>
        <v>0</v>
      </c>
      <c r="HX13">
        <f>IF('Fungi &amp; Lichen'!270:270,"AAAAAF7zuec=",0)</f>
        <v>0</v>
      </c>
      <c r="HY13">
        <f>IF('Fungi &amp; Lichen'!271:271,"AAAAAF7zueg=",0)</f>
        <v>0</v>
      </c>
      <c r="HZ13">
        <f>IF('Fungi &amp; Lichen'!272:272,"AAAAAF7zuek=",0)</f>
        <v>0</v>
      </c>
      <c r="IA13">
        <f>IF('Fungi &amp; Lichen'!273:273,"AAAAAF7zueo=",0)</f>
        <v>0</v>
      </c>
      <c r="IB13">
        <f>IF('Fungi &amp; Lichen'!274:274,"AAAAAF7zues=",0)</f>
        <v>0</v>
      </c>
      <c r="IC13">
        <f>IF('Fungi &amp; Lichen'!275:275,"AAAAAF7zuew=",0)</f>
        <v>0</v>
      </c>
      <c r="ID13">
        <f>IF('Fungi &amp; Lichen'!276:276,"AAAAAF7zue0=",0)</f>
        <v>0</v>
      </c>
      <c r="IE13">
        <f>IF('Fungi &amp; Lichen'!277:277,"AAAAAF7zue4=",0)</f>
        <v>0</v>
      </c>
      <c r="IF13">
        <f>IF('Fungi &amp; Lichen'!278:278,"AAAAAF7zue8=",0)</f>
        <v>0</v>
      </c>
      <c r="IG13">
        <f>IF('Fungi &amp; Lichen'!279:279,"AAAAAF7zufA=",0)</f>
        <v>0</v>
      </c>
      <c r="IH13">
        <f>IF('Fungi &amp; Lichen'!280:280,"AAAAAF7zufE=",0)</f>
        <v>0</v>
      </c>
      <c r="II13">
        <f>IF('Fungi &amp; Lichen'!281:281,"AAAAAF7zufI=",0)</f>
        <v>0</v>
      </c>
      <c r="IJ13">
        <f>IF('Fungi &amp; Lichen'!282:282,"AAAAAF7zufM=",0)</f>
        <v>0</v>
      </c>
      <c r="IK13">
        <f>IF('Fungi &amp; Lichen'!283:283,"AAAAAF7zufQ=",0)</f>
        <v>0</v>
      </c>
      <c r="IL13">
        <f>IF('Fungi &amp; Lichen'!284:284,"AAAAAF7zufU=",0)</f>
        <v>0</v>
      </c>
      <c r="IM13">
        <f>IF('Fungi &amp; Lichen'!285:285,"AAAAAF7zufY=",0)</f>
        <v>0</v>
      </c>
      <c r="IN13">
        <f>IF('Fungi &amp; Lichen'!286:286,"AAAAAF7zufc=",0)</f>
        <v>0</v>
      </c>
      <c r="IO13">
        <f>IF('Fungi &amp; Lichen'!287:287,"AAAAAF7zufg=",0)</f>
        <v>0</v>
      </c>
      <c r="IP13">
        <f>IF('Fungi &amp; Lichen'!288:288,"AAAAAF7zufk=",0)</f>
        <v>0</v>
      </c>
      <c r="IQ13">
        <f>IF('Fungi &amp; Lichen'!289:289,"AAAAAF7zufo=",0)</f>
        <v>0</v>
      </c>
      <c r="IR13">
        <f>IF('Fungi &amp; Lichen'!290:290,"AAAAAF7zufs=",0)</f>
        <v>0</v>
      </c>
      <c r="IS13">
        <f>IF('Fungi &amp; Lichen'!291:291,"AAAAAF7zufw=",0)</f>
        <v>0</v>
      </c>
      <c r="IT13">
        <f>IF('Fungi &amp; Lichen'!292:292,"AAAAAF7zuf0=",0)</f>
        <v>0</v>
      </c>
      <c r="IU13">
        <f>IF('Fungi &amp; Lichen'!293:293,"AAAAAF7zuf4=",0)</f>
        <v>0</v>
      </c>
      <c r="IV13">
        <f>IF('Fungi &amp; Lichen'!294:294,"AAAAAF7zuf8=",0)</f>
        <v>0</v>
      </c>
    </row>
    <row r="14" spans="1:256">
      <c r="A14">
        <f>IF('Fungi &amp; Lichen'!295:295,"AAAAAH31+wA=",0)</f>
        <v>0</v>
      </c>
      <c r="B14">
        <f>IF('Fungi &amp; Lichen'!296:296,"AAAAAH31+wE=",0)</f>
        <v>0</v>
      </c>
      <c r="C14">
        <f>IF('Fungi &amp; Lichen'!297:297,"AAAAAH31+wI=",0)</f>
        <v>0</v>
      </c>
      <c r="D14">
        <f>IF('Fungi &amp; Lichen'!298:298,"AAAAAH31+wM=",0)</f>
        <v>0</v>
      </c>
      <c r="E14">
        <f>IF('Fungi &amp; Lichen'!299:299,"AAAAAH31+wQ=",0)</f>
        <v>0</v>
      </c>
      <c r="F14">
        <f>IF('Fungi &amp; Lichen'!300:300,"AAAAAH31+wU=",0)</f>
        <v>0</v>
      </c>
      <c r="G14">
        <f>IF('Fungi &amp; Lichen'!301:301,"AAAAAH31+wY=",0)</f>
        <v>0</v>
      </c>
      <c r="H14">
        <f>IF('Fungi &amp; Lichen'!302:302,"AAAAAH31+wc=",0)</f>
        <v>0</v>
      </c>
      <c r="I14">
        <f>IF('Fungi &amp; Lichen'!303:303,"AAAAAH31+wg=",0)</f>
        <v>0</v>
      </c>
      <c r="J14">
        <f>IF('Fungi &amp; Lichen'!304:304,"AAAAAH31+wk=",0)</f>
        <v>0</v>
      </c>
      <c r="K14">
        <f>IF('Fungi &amp; Lichen'!305:305,"AAAAAH31+wo=",0)</f>
        <v>0</v>
      </c>
      <c r="L14">
        <f>IF('Fungi &amp; Lichen'!306:306,"AAAAAH31+ws=",0)</f>
        <v>0</v>
      </c>
      <c r="M14">
        <f>IF('Fungi &amp; Lichen'!307:307,"AAAAAH31+ww=",0)</f>
        <v>0</v>
      </c>
      <c r="N14">
        <f>IF('Fungi &amp; Lichen'!308:308,"AAAAAH31+w0=",0)</f>
        <v>0</v>
      </c>
      <c r="O14">
        <f>IF('Fungi &amp; Lichen'!309:309,"AAAAAH31+w4=",0)</f>
        <v>0</v>
      </c>
      <c r="P14">
        <f>IF('Fungi &amp; Lichen'!310:310,"AAAAAH31+w8=",0)</f>
        <v>0</v>
      </c>
      <c r="Q14">
        <f>IF('Fungi &amp; Lichen'!311:311,"AAAAAH31+xA=",0)</f>
        <v>0</v>
      </c>
      <c r="R14">
        <f>IF('Fungi &amp; Lichen'!312:312,"AAAAAH31+xE=",0)</f>
        <v>0</v>
      </c>
      <c r="S14">
        <f>IF('Fungi &amp; Lichen'!313:313,"AAAAAH31+xI=",0)</f>
        <v>0</v>
      </c>
      <c r="T14">
        <f>IF('Fungi &amp; Lichen'!314:314,"AAAAAH31+xM=",0)</f>
        <v>0</v>
      </c>
      <c r="U14">
        <f>IF('Fungi &amp; Lichen'!315:315,"AAAAAH31+xQ=",0)</f>
        <v>0</v>
      </c>
      <c r="V14">
        <f>IF('Fungi &amp; Lichen'!316:316,"AAAAAH31+xU=",0)</f>
        <v>0</v>
      </c>
      <c r="W14">
        <f>IF('Fungi &amp; Lichen'!317:317,"AAAAAH31+xY=",0)</f>
        <v>0</v>
      </c>
      <c r="X14">
        <f>IF('Fungi &amp; Lichen'!318:318,"AAAAAH31+xc=",0)</f>
        <v>0</v>
      </c>
      <c r="Y14">
        <f>IF('Fungi &amp; Lichen'!319:319,"AAAAAH31+xg=",0)</f>
        <v>0</v>
      </c>
      <c r="Z14">
        <f>IF('Fungi &amp; Lichen'!320:320,"AAAAAH31+xk=",0)</f>
        <v>0</v>
      </c>
      <c r="AA14">
        <f>IF('Fungi &amp; Lichen'!321:321,"AAAAAH31+xo=",0)</f>
        <v>0</v>
      </c>
      <c r="AB14">
        <f>IF('Fungi &amp; Lichen'!322:322,"AAAAAH31+xs=",0)</f>
        <v>0</v>
      </c>
      <c r="AC14">
        <f>IF('Fungi &amp; Lichen'!323:323,"AAAAAH31+xw=",0)</f>
        <v>0</v>
      </c>
      <c r="AD14">
        <f>IF('Fungi &amp; Lichen'!324:324,"AAAAAH31+x0=",0)</f>
        <v>0</v>
      </c>
      <c r="AE14">
        <f>IF('Fungi &amp; Lichen'!325:325,"AAAAAH31+x4=",0)</f>
        <v>0</v>
      </c>
      <c r="AF14">
        <f>IF('Fungi &amp; Lichen'!326:326,"AAAAAH31+x8=",0)</f>
        <v>0</v>
      </c>
      <c r="AG14">
        <f>IF('Fungi &amp; Lichen'!327:327,"AAAAAH31+yA=",0)</f>
        <v>0</v>
      </c>
      <c r="AH14">
        <f>IF('Fungi &amp; Lichen'!328:328,"AAAAAH31+yE=",0)</f>
        <v>0</v>
      </c>
      <c r="AI14">
        <f>IF('Fungi &amp; Lichen'!329:329,"AAAAAH31+yI=",0)</f>
        <v>0</v>
      </c>
      <c r="AJ14">
        <f>IF('Fungi &amp; Lichen'!330:330,"AAAAAH31+yM=",0)</f>
        <v>0</v>
      </c>
      <c r="AK14">
        <f>IF('Fungi &amp; Lichen'!331:331,"AAAAAH31+yQ=",0)</f>
        <v>0</v>
      </c>
      <c r="AL14">
        <f>IF('Fungi &amp; Lichen'!332:332,"AAAAAH31+yU=",0)</f>
        <v>0</v>
      </c>
      <c r="AM14">
        <f>IF('Fungi &amp; Lichen'!333:333,"AAAAAH31+yY=",0)</f>
        <v>0</v>
      </c>
      <c r="AN14">
        <f>IF('Fungi &amp; Lichen'!334:334,"AAAAAH31+yc=",0)</f>
        <v>0</v>
      </c>
      <c r="AO14">
        <f>IF('Fungi &amp; Lichen'!335:335,"AAAAAH31+yg=",0)</f>
        <v>0</v>
      </c>
      <c r="AP14">
        <f>IF('Fungi &amp; Lichen'!336:336,"AAAAAH31+yk=",0)</f>
        <v>0</v>
      </c>
      <c r="AQ14">
        <f>IF('Fungi &amp; Lichen'!337:337,"AAAAAH31+yo=",0)</f>
        <v>0</v>
      </c>
      <c r="AR14">
        <f>IF('Fungi &amp; Lichen'!338:338,"AAAAAH31+ys=",0)</f>
        <v>0</v>
      </c>
      <c r="AS14">
        <f>IF('Fungi &amp; Lichen'!339:339,"AAAAAH31+yw=",0)</f>
        <v>0</v>
      </c>
      <c r="AT14">
        <f>IF('Fungi &amp; Lichen'!340:340,"AAAAAH31+y0=",0)</f>
        <v>0</v>
      </c>
      <c r="AU14">
        <f>IF('Fungi &amp; Lichen'!341:341,"AAAAAH31+y4=",0)</f>
        <v>0</v>
      </c>
      <c r="AV14">
        <f>IF('Fungi &amp; Lichen'!342:342,"AAAAAH31+y8=",0)</f>
        <v>0</v>
      </c>
      <c r="AW14">
        <f>IF('Fungi &amp; Lichen'!343:343,"AAAAAH31+zA=",0)</f>
        <v>0</v>
      </c>
      <c r="AX14">
        <f>IF('Fungi &amp; Lichen'!344:344,"AAAAAH31+zE=",0)</f>
        <v>0</v>
      </c>
      <c r="AY14">
        <f>IF('Fungi &amp; Lichen'!345:345,"AAAAAH31+zI=",0)</f>
        <v>0</v>
      </c>
      <c r="AZ14">
        <f>IF('Fungi &amp; Lichen'!346:346,"AAAAAH31+zM=",0)</f>
        <v>0</v>
      </c>
      <c r="BA14">
        <f>IF('Fungi &amp; Lichen'!347:347,"AAAAAH31+zQ=",0)</f>
        <v>0</v>
      </c>
      <c r="BB14">
        <f>IF('Fungi &amp; Lichen'!348:348,"AAAAAH31+zU=",0)</f>
        <v>0</v>
      </c>
      <c r="BC14">
        <f>IF('Fungi &amp; Lichen'!349:349,"AAAAAH31+zY=",0)</f>
        <v>0</v>
      </c>
      <c r="BD14">
        <f>IF('Fungi &amp; Lichen'!350:350,"AAAAAH31+zc=",0)</f>
        <v>0</v>
      </c>
      <c r="BE14">
        <f>IF('Fungi &amp; Lichen'!351:351,"AAAAAH31+zg=",0)</f>
        <v>0</v>
      </c>
      <c r="BF14">
        <f>IF('Fungi &amp; Lichen'!352:352,"AAAAAH31+zk=",0)</f>
        <v>0</v>
      </c>
      <c r="BG14">
        <f>IF('Fungi &amp; Lichen'!353:353,"AAAAAH31+zo=",0)</f>
        <v>0</v>
      </c>
      <c r="BH14">
        <f>IF('Fungi &amp; Lichen'!354:354,"AAAAAH31+zs=",0)</f>
        <v>0</v>
      </c>
      <c r="BI14">
        <f>IF('Fungi &amp; Lichen'!355:355,"AAAAAH31+zw=",0)</f>
        <v>0</v>
      </c>
      <c r="BJ14">
        <f>IF('Fungi &amp; Lichen'!356:356,"AAAAAH31+z0=",0)</f>
        <v>0</v>
      </c>
      <c r="BK14">
        <f>IF('Fungi &amp; Lichen'!357:357,"AAAAAH31+z4=",0)</f>
        <v>0</v>
      </c>
      <c r="BL14">
        <f>IF('Fungi &amp; Lichen'!358:358,"AAAAAH31+z8=",0)</f>
        <v>0</v>
      </c>
      <c r="BM14">
        <f>IF('Fungi &amp; Lichen'!359:359,"AAAAAH31+0A=",0)</f>
        <v>0</v>
      </c>
      <c r="BN14">
        <f>IF('Fungi &amp; Lichen'!360:360,"AAAAAH31+0E=",0)</f>
        <v>0</v>
      </c>
      <c r="BO14">
        <f>IF('Fungi &amp; Lichen'!361:361,"AAAAAH31+0I=",0)</f>
        <v>0</v>
      </c>
      <c r="BP14">
        <f>IF('Fungi &amp; Lichen'!362:362,"AAAAAH31+0M=",0)</f>
        <v>0</v>
      </c>
      <c r="BQ14">
        <f>IF('Fungi &amp; Lichen'!363:363,"AAAAAH31+0Q=",0)</f>
        <v>0</v>
      </c>
      <c r="BR14">
        <f>IF('Fungi &amp; Lichen'!364:364,"AAAAAH31+0U=",0)</f>
        <v>0</v>
      </c>
      <c r="BS14">
        <f>IF('Fungi &amp; Lichen'!365:365,"AAAAAH31+0Y=",0)</f>
        <v>0</v>
      </c>
      <c r="BT14">
        <f>IF('Fungi &amp; Lichen'!366:366,"AAAAAH31+0c=",0)</f>
        <v>0</v>
      </c>
      <c r="BU14">
        <f>IF('Fungi &amp; Lichen'!367:367,"AAAAAH31+0g=",0)</f>
        <v>0</v>
      </c>
      <c r="BV14">
        <f>IF('Fungi &amp; Lichen'!368:368,"AAAAAH31+0k=",0)</f>
        <v>0</v>
      </c>
      <c r="BW14">
        <f>IF('Fungi &amp; Lichen'!369:369,"AAAAAH31+0o=",0)</f>
        <v>0</v>
      </c>
      <c r="BX14">
        <f>IF('Fungi &amp; Lichen'!370:370,"AAAAAH31+0s=",0)</f>
        <v>0</v>
      </c>
      <c r="BY14">
        <f>IF('Fungi &amp; Lichen'!371:371,"AAAAAH31+0w=",0)</f>
        <v>0</v>
      </c>
      <c r="BZ14">
        <f>IF('Fungi &amp; Lichen'!372:372,"AAAAAH31+00=",0)</f>
        <v>0</v>
      </c>
      <c r="CA14">
        <f>IF('Fungi &amp; Lichen'!373:373,"AAAAAH31+04=",0)</f>
        <v>0</v>
      </c>
      <c r="CB14">
        <f>IF('Fungi &amp; Lichen'!374:374,"AAAAAH31+08=",0)</f>
        <v>0</v>
      </c>
      <c r="CC14">
        <f>IF('Fungi &amp; Lichen'!375:375,"AAAAAH31+1A=",0)</f>
        <v>0</v>
      </c>
      <c r="CD14">
        <f>IF('Fungi &amp; Lichen'!376:376,"AAAAAH31+1E=",0)</f>
        <v>0</v>
      </c>
      <c r="CE14">
        <f>IF('Fungi &amp; Lichen'!377:377,"AAAAAH31+1I=",0)</f>
        <v>0</v>
      </c>
      <c r="CF14">
        <f>IF('Fungi &amp; Lichen'!378:378,"AAAAAH31+1M=",0)</f>
        <v>0</v>
      </c>
      <c r="CG14">
        <f>IF('Fungi &amp; Lichen'!379:379,"AAAAAH31+1Q=",0)</f>
        <v>0</v>
      </c>
      <c r="CH14">
        <f>IF('Fungi &amp; Lichen'!380:380,"AAAAAH31+1U=",0)</f>
        <v>0</v>
      </c>
      <c r="CI14">
        <f>IF('Fungi &amp; Lichen'!381:381,"AAAAAH31+1Y=",0)</f>
        <v>0</v>
      </c>
      <c r="CJ14">
        <f>IF('Fungi &amp; Lichen'!382:382,"AAAAAH31+1c=",0)</f>
        <v>0</v>
      </c>
      <c r="CK14">
        <f>IF('Fungi &amp; Lichen'!383:383,"AAAAAH31+1g=",0)</f>
        <v>0</v>
      </c>
      <c r="CL14">
        <f>IF('Fungi &amp; Lichen'!384:384,"AAAAAH31+1k=",0)</f>
        <v>0</v>
      </c>
      <c r="CM14">
        <f>IF('Fungi &amp; Lichen'!385:385,"AAAAAH31+1o=",0)</f>
        <v>0</v>
      </c>
      <c r="CN14">
        <f>IF('Fungi &amp; Lichen'!386:386,"AAAAAH31+1s=",0)</f>
        <v>0</v>
      </c>
      <c r="CO14">
        <f>IF('Fungi &amp; Lichen'!387:387,"AAAAAH31+1w=",0)</f>
        <v>0</v>
      </c>
      <c r="CP14">
        <f>IF('Fungi &amp; Lichen'!388:388,"AAAAAH31+10=",0)</f>
        <v>0</v>
      </c>
      <c r="CQ14">
        <f>IF('Fungi &amp; Lichen'!389:389,"AAAAAH31+14=",0)</f>
        <v>0</v>
      </c>
      <c r="CR14">
        <f>IF('Fungi &amp; Lichen'!390:390,"AAAAAH31+18=",0)</f>
        <v>0</v>
      </c>
      <c r="CS14">
        <f>IF('Fungi &amp; Lichen'!391:391,"AAAAAH31+2A=",0)</f>
        <v>0</v>
      </c>
      <c r="CT14">
        <f>IF('Fungi &amp; Lichen'!392:392,"AAAAAH31+2E=",0)</f>
        <v>0</v>
      </c>
      <c r="CU14">
        <f>IF('Fungi &amp; Lichen'!393:393,"AAAAAH31+2I=",0)</f>
        <v>0</v>
      </c>
      <c r="CV14">
        <f>IF('Fungi &amp; Lichen'!394:394,"AAAAAH31+2M=",0)</f>
        <v>0</v>
      </c>
      <c r="CW14">
        <f>IF('Fungi &amp; Lichen'!395:395,"AAAAAH31+2Q=",0)</f>
        <v>0</v>
      </c>
      <c r="CX14">
        <f>IF('Fungi &amp; Lichen'!396:396,"AAAAAH31+2U=",0)</f>
        <v>0</v>
      </c>
      <c r="CY14">
        <f>IF('Fungi &amp; Lichen'!397:397,"AAAAAH31+2Y=",0)</f>
        <v>0</v>
      </c>
      <c r="CZ14">
        <f>IF('Fungi &amp; Lichen'!398:398,"AAAAAH31+2c=",0)</f>
        <v>0</v>
      </c>
      <c r="DA14">
        <f>IF('Fungi &amp; Lichen'!399:399,"AAAAAH31+2g=",0)</f>
        <v>0</v>
      </c>
      <c r="DB14">
        <f>IF('Fungi &amp; Lichen'!400:400,"AAAAAH31+2k=",0)</f>
        <v>0</v>
      </c>
      <c r="DC14">
        <f>IF('Fungi &amp; Lichen'!401:401,"AAAAAH31+2o=",0)</f>
        <v>0</v>
      </c>
      <c r="DD14">
        <f>IF('Fungi &amp; Lichen'!402:402,"AAAAAH31+2s=",0)</f>
        <v>0</v>
      </c>
      <c r="DE14">
        <f>IF('Fungi &amp; Lichen'!403:403,"AAAAAH31+2w=",0)</f>
        <v>0</v>
      </c>
      <c r="DF14">
        <f>IF('Fungi &amp; Lichen'!404:404,"AAAAAH31+20=",0)</f>
        <v>0</v>
      </c>
      <c r="DG14">
        <f>IF('Fungi &amp; Lichen'!405:405,"AAAAAH31+24=",0)</f>
        <v>0</v>
      </c>
      <c r="DH14">
        <f>IF('Fungi &amp; Lichen'!406:406,"AAAAAH31+28=",0)</f>
        <v>0</v>
      </c>
      <c r="DI14">
        <f>IF('Fungi &amp; Lichen'!407:407,"AAAAAH31+3A=",0)</f>
        <v>0</v>
      </c>
      <c r="DJ14">
        <f>IF('Fungi &amp; Lichen'!408:408,"AAAAAH31+3E=",0)</f>
        <v>0</v>
      </c>
      <c r="DK14">
        <f>IF('Fungi &amp; Lichen'!409:409,"AAAAAH31+3I=",0)</f>
        <v>0</v>
      </c>
      <c r="DL14">
        <f>IF('Fungi &amp; Lichen'!410:410,"AAAAAH31+3M=",0)</f>
        <v>0</v>
      </c>
      <c r="DM14">
        <f>IF('Fungi &amp; Lichen'!411:411,"AAAAAH31+3Q=",0)</f>
        <v>0</v>
      </c>
      <c r="DN14">
        <f>IF('Fungi &amp; Lichen'!412:412,"AAAAAH31+3U=",0)</f>
        <v>0</v>
      </c>
      <c r="DO14">
        <f>IF('Fungi &amp; Lichen'!413:413,"AAAAAH31+3Y=",0)</f>
        <v>0</v>
      </c>
      <c r="DP14">
        <f>IF('Fungi &amp; Lichen'!414:414,"AAAAAH31+3c=",0)</f>
        <v>0</v>
      </c>
      <c r="DQ14">
        <f>IF('Fungi &amp; Lichen'!415:415,"AAAAAH31+3g=",0)</f>
        <v>0</v>
      </c>
      <c r="DR14">
        <f>IF('Fungi &amp; Lichen'!416:416,"AAAAAH31+3k=",0)</f>
        <v>0</v>
      </c>
      <c r="DS14">
        <f>IF('Fungi &amp; Lichen'!417:417,"AAAAAH31+3o=",0)</f>
        <v>0</v>
      </c>
      <c r="DT14">
        <f>IF('Fungi &amp; Lichen'!418:418,"AAAAAH31+3s=",0)</f>
        <v>0</v>
      </c>
      <c r="DU14">
        <f>IF('Fungi &amp; Lichen'!419:419,"AAAAAH31+3w=",0)</f>
        <v>0</v>
      </c>
      <c r="DV14">
        <f>IF('Fungi &amp; Lichen'!420:420,"AAAAAH31+30=",0)</f>
        <v>0</v>
      </c>
      <c r="DW14">
        <f>IF('Fungi &amp; Lichen'!421:421,"AAAAAH31+34=",0)</f>
        <v>0</v>
      </c>
      <c r="DX14">
        <f>IF('Fungi &amp; Lichen'!422:422,"AAAAAH31+38=",0)</f>
        <v>0</v>
      </c>
      <c r="DY14">
        <f>IF('Fungi &amp; Lichen'!423:423,"AAAAAH31+4A=",0)</f>
        <v>0</v>
      </c>
      <c r="DZ14">
        <f>IF('Fungi &amp; Lichen'!424:424,"AAAAAH31+4E=",0)</f>
        <v>0</v>
      </c>
      <c r="EA14">
        <f>IF('Fungi &amp; Lichen'!425:425,"AAAAAH31+4I=",0)</f>
        <v>0</v>
      </c>
      <c r="EB14">
        <f>IF('Fungi &amp; Lichen'!426:426,"AAAAAH31+4M=",0)</f>
        <v>0</v>
      </c>
      <c r="EC14">
        <f>IF('Fungi &amp; Lichen'!427:427,"AAAAAH31+4Q=",0)</f>
        <v>0</v>
      </c>
      <c r="ED14">
        <f>IF('Fungi &amp; Lichen'!428:428,"AAAAAH31+4U=",0)</f>
        <v>0</v>
      </c>
      <c r="EE14">
        <f>IF('Fungi &amp; Lichen'!429:429,"AAAAAH31+4Y=",0)</f>
        <v>0</v>
      </c>
      <c r="EF14">
        <f>IF('Fungi &amp; Lichen'!430:430,"AAAAAH31+4c=",0)</f>
        <v>0</v>
      </c>
      <c r="EG14">
        <f>IF('Fungi &amp; Lichen'!431:431,"AAAAAH31+4g=",0)</f>
        <v>0</v>
      </c>
      <c r="EH14">
        <f>IF('Fungi &amp; Lichen'!432:432,"AAAAAH31+4k=",0)</f>
        <v>0</v>
      </c>
      <c r="EI14">
        <f>IF('Fungi &amp; Lichen'!433:433,"AAAAAH31+4o=",0)</f>
        <v>0</v>
      </c>
      <c r="EJ14">
        <f>IF('Fungi &amp; Lichen'!434:434,"AAAAAH31+4s=",0)</f>
        <v>0</v>
      </c>
      <c r="EK14">
        <f>IF('Fungi &amp; Lichen'!435:435,"AAAAAH31+4w=",0)</f>
        <v>0</v>
      </c>
      <c r="EL14">
        <f>IF('Fungi &amp; Lichen'!436:436,"AAAAAH31+40=",0)</f>
        <v>0</v>
      </c>
      <c r="EM14">
        <f>IF('Fungi &amp; Lichen'!437:437,"AAAAAH31+44=",0)</f>
        <v>0</v>
      </c>
      <c r="EN14">
        <f>IF('Fungi &amp; Lichen'!438:438,"AAAAAH31+48=",0)</f>
        <v>0</v>
      </c>
      <c r="EO14">
        <f>IF('Fungi &amp; Lichen'!439:439,"AAAAAH31+5A=",0)</f>
        <v>0</v>
      </c>
      <c r="EP14">
        <f>IF('Fungi &amp; Lichen'!440:440,"AAAAAH31+5E=",0)</f>
        <v>0</v>
      </c>
      <c r="EQ14">
        <f>IF('Fungi &amp; Lichen'!441:441,"AAAAAH31+5I=",0)</f>
        <v>0</v>
      </c>
      <c r="ER14">
        <f>IF('Fungi &amp; Lichen'!442:442,"AAAAAH31+5M=",0)</f>
        <v>0</v>
      </c>
      <c r="ES14">
        <f>IF('Fungi &amp; Lichen'!443:443,"AAAAAH31+5Q=",0)</f>
        <v>0</v>
      </c>
      <c r="ET14">
        <f>IF('Fungi &amp; Lichen'!444:444,"AAAAAH31+5U=",0)</f>
        <v>0</v>
      </c>
      <c r="EU14">
        <f>IF('Fungi &amp; Lichen'!445:445,"AAAAAH31+5Y=",0)</f>
        <v>0</v>
      </c>
      <c r="EV14">
        <f>IF('Fungi &amp; Lichen'!446:446,"AAAAAH31+5c=",0)</f>
        <v>0</v>
      </c>
      <c r="EW14">
        <f>IF('Fungi &amp; Lichen'!447:447,"AAAAAH31+5g=",0)</f>
        <v>0</v>
      </c>
      <c r="EX14">
        <f>IF('Fungi &amp; Lichen'!448:448,"AAAAAH31+5k=",0)</f>
        <v>0</v>
      </c>
      <c r="EY14">
        <f>IF('Fungi &amp; Lichen'!449:449,"AAAAAH31+5o=",0)</f>
        <v>0</v>
      </c>
      <c r="EZ14">
        <f>IF('Fungi &amp; Lichen'!450:450,"AAAAAH31+5s=",0)</f>
        <v>0</v>
      </c>
      <c r="FA14">
        <f>IF('Fungi &amp; Lichen'!451:451,"AAAAAH31+5w=",0)</f>
        <v>0</v>
      </c>
      <c r="FB14">
        <f>IF('Fungi &amp; Lichen'!452:452,"AAAAAH31+50=",0)</f>
        <v>0</v>
      </c>
      <c r="FC14">
        <f>IF('Fungi &amp; Lichen'!453:453,"AAAAAH31+54=",0)</f>
        <v>0</v>
      </c>
      <c r="FD14">
        <f>IF('Fungi &amp; Lichen'!454:454,"AAAAAH31+58=",0)</f>
        <v>0</v>
      </c>
      <c r="FE14">
        <f>IF('Fungi &amp; Lichen'!455:455,"AAAAAH31+6A=",0)</f>
        <v>0</v>
      </c>
      <c r="FF14">
        <f>IF('Fungi &amp; Lichen'!456:456,"AAAAAH31+6E=",0)</f>
        <v>0</v>
      </c>
      <c r="FG14">
        <f>IF('Fungi &amp; Lichen'!457:457,"AAAAAH31+6I=",0)</f>
        <v>0</v>
      </c>
      <c r="FH14">
        <f>IF('Fungi &amp; Lichen'!458:458,"AAAAAH31+6M=",0)</f>
        <v>0</v>
      </c>
      <c r="FI14">
        <f>IF('Fungi &amp; Lichen'!459:459,"AAAAAH31+6Q=",0)</f>
        <v>0</v>
      </c>
      <c r="FJ14">
        <f>IF('Fungi &amp; Lichen'!460:460,"AAAAAH31+6U=",0)</f>
        <v>0</v>
      </c>
      <c r="FK14">
        <f>IF('Fungi &amp; Lichen'!461:461,"AAAAAH31+6Y=",0)</f>
        <v>0</v>
      </c>
      <c r="FL14">
        <f>IF('Fungi &amp; Lichen'!462:462,"AAAAAH31+6c=",0)</f>
        <v>0</v>
      </c>
      <c r="FM14">
        <f>IF('Fungi &amp; Lichen'!463:463,"AAAAAH31+6g=",0)</f>
        <v>0</v>
      </c>
      <c r="FN14">
        <f>IF('Fungi &amp; Lichen'!464:464,"AAAAAH31+6k=",0)</f>
        <v>0</v>
      </c>
      <c r="FO14">
        <f>IF('Fungi &amp; Lichen'!465:465,"AAAAAH31+6o=",0)</f>
        <v>0</v>
      </c>
      <c r="FP14">
        <f>IF('Fungi &amp; Lichen'!466:466,"AAAAAH31+6s=",0)</f>
        <v>0</v>
      </c>
      <c r="FQ14">
        <f>IF('Fungi &amp; Lichen'!467:467,"AAAAAH31+6w=",0)</f>
        <v>0</v>
      </c>
      <c r="FR14">
        <f>IF('Fungi &amp; Lichen'!468:468,"AAAAAH31+60=",0)</f>
        <v>0</v>
      </c>
      <c r="FS14">
        <f>IF('Fungi &amp; Lichen'!469:469,"AAAAAH31+64=",0)</f>
        <v>0</v>
      </c>
      <c r="FT14">
        <f>IF('Fungi &amp; Lichen'!470:470,"AAAAAH31+68=",0)</f>
        <v>0</v>
      </c>
      <c r="FU14">
        <f>IF('Fungi &amp; Lichen'!471:471,"AAAAAH31+7A=",0)</f>
        <v>0</v>
      </c>
      <c r="FV14">
        <f>IF('Fungi &amp; Lichen'!472:472,"AAAAAH31+7E=",0)</f>
        <v>0</v>
      </c>
      <c r="FW14">
        <f>IF('Fungi &amp; Lichen'!473:473,"AAAAAH31+7I=",0)</f>
        <v>0</v>
      </c>
      <c r="FX14">
        <f>IF('Fungi &amp; Lichen'!474:474,"AAAAAH31+7M=",0)</f>
        <v>0</v>
      </c>
      <c r="FY14">
        <f>IF('Fungi &amp; Lichen'!475:475,"AAAAAH31+7Q=",0)</f>
        <v>0</v>
      </c>
      <c r="FZ14">
        <f>IF('Fungi &amp; Lichen'!476:476,"AAAAAH31+7U=",0)</f>
        <v>0</v>
      </c>
      <c r="GA14">
        <f>IF('Fungi &amp; Lichen'!477:477,"AAAAAH31+7Y=",0)</f>
        <v>0</v>
      </c>
      <c r="GB14">
        <f>IF('Fungi &amp; Lichen'!478:478,"AAAAAH31+7c=",0)</f>
        <v>0</v>
      </c>
      <c r="GC14">
        <f>IF('Fungi &amp; Lichen'!479:479,"AAAAAH31+7g=",0)</f>
        <v>0</v>
      </c>
      <c r="GD14">
        <f>IF('Fungi &amp; Lichen'!480:480,"AAAAAH31+7k=",0)</f>
        <v>0</v>
      </c>
      <c r="GE14">
        <f>IF('Fungi &amp; Lichen'!481:481,"AAAAAH31+7o=",0)</f>
        <v>0</v>
      </c>
      <c r="GF14">
        <f>IF('Fungi &amp; Lichen'!482:482,"AAAAAH31+7s=",0)</f>
        <v>0</v>
      </c>
      <c r="GG14">
        <f>IF('Fungi &amp; Lichen'!483:483,"AAAAAH31+7w=",0)</f>
        <v>0</v>
      </c>
      <c r="GH14">
        <f>IF('Fungi &amp; Lichen'!484:484,"AAAAAH31+70=",0)</f>
        <v>0</v>
      </c>
      <c r="GI14">
        <f>IF('Fungi &amp; Lichen'!485:485,"AAAAAH31+74=",0)</f>
        <v>0</v>
      </c>
      <c r="GJ14">
        <f>IF('Fungi &amp; Lichen'!486:486,"AAAAAH31+78=",0)</f>
        <v>0</v>
      </c>
      <c r="GK14">
        <f>IF('Fungi &amp; Lichen'!487:487,"AAAAAH31+8A=",0)</f>
        <v>0</v>
      </c>
      <c r="GL14">
        <f>IF('Fungi &amp; Lichen'!488:488,"AAAAAH31+8E=",0)</f>
        <v>0</v>
      </c>
      <c r="GM14">
        <f>IF('Fungi &amp; Lichen'!489:489,"AAAAAH31+8I=",0)</f>
        <v>0</v>
      </c>
      <c r="GN14">
        <f>IF('Fungi &amp; Lichen'!490:490,"AAAAAH31+8M=",0)</f>
        <v>0</v>
      </c>
      <c r="GO14">
        <f>IF('Fungi &amp; Lichen'!491:491,"AAAAAH31+8Q=",0)</f>
        <v>0</v>
      </c>
      <c r="GP14">
        <f>IF('Fungi &amp; Lichen'!492:492,"AAAAAH31+8U=",0)</f>
        <v>0</v>
      </c>
      <c r="GQ14">
        <f>IF('Fungi &amp; Lichen'!493:493,"AAAAAH31+8Y=",0)</f>
        <v>0</v>
      </c>
      <c r="GR14">
        <f>IF('Fungi &amp; Lichen'!494:494,"AAAAAH31+8c=",0)</f>
        <v>0</v>
      </c>
      <c r="GS14">
        <f>IF('Fungi &amp; Lichen'!495:495,"AAAAAH31+8g=",0)</f>
        <v>0</v>
      </c>
      <c r="GT14">
        <f>IF('Fungi &amp; Lichen'!496:496,"AAAAAH31+8k=",0)</f>
        <v>0</v>
      </c>
      <c r="GU14">
        <f>IF('Fungi &amp; Lichen'!497:497,"AAAAAH31+8o=",0)</f>
        <v>0</v>
      </c>
      <c r="GV14">
        <f>IF('Fungi &amp; Lichen'!498:498,"AAAAAH31+8s=",0)</f>
        <v>0</v>
      </c>
      <c r="GW14">
        <f>IF('Fungi &amp; Lichen'!499:499,"AAAAAH31+8w=",0)</f>
        <v>0</v>
      </c>
      <c r="GX14">
        <f>IF('Fungi &amp; Lichen'!500:500,"AAAAAH31+80=",0)</f>
        <v>0</v>
      </c>
      <c r="GY14">
        <f>IF('Fungi &amp; Lichen'!501:501,"AAAAAH31+84=",0)</f>
        <v>0</v>
      </c>
      <c r="GZ14">
        <f>IF('Fungi &amp; Lichen'!502:502,"AAAAAH31+88=",0)</f>
        <v>0</v>
      </c>
      <c r="HA14">
        <f>IF('Fungi &amp; Lichen'!503:503,"AAAAAH31+9A=",0)</f>
        <v>0</v>
      </c>
      <c r="HB14">
        <f>IF('Fungi &amp; Lichen'!504:504,"AAAAAH31+9E=",0)</f>
        <v>0</v>
      </c>
      <c r="HC14">
        <f>IF('Fungi &amp; Lichen'!505:505,"AAAAAH31+9I=",0)</f>
        <v>0</v>
      </c>
      <c r="HD14">
        <f>IF('Fungi &amp; Lichen'!506:506,"AAAAAH31+9M=",0)</f>
        <v>0</v>
      </c>
      <c r="HE14">
        <f>IF('Fungi &amp; Lichen'!507:507,"AAAAAH31+9Q=",0)</f>
        <v>0</v>
      </c>
      <c r="HF14">
        <f>IF('Fungi &amp; Lichen'!508:508,"AAAAAH31+9U=",0)</f>
        <v>0</v>
      </c>
      <c r="HG14">
        <f>IF('Fungi &amp; Lichen'!509:509,"AAAAAH31+9Y=",0)</f>
        <v>0</v>
      </c>
      <c r="HH14">
        <f>IF('Fungi &amp; Lichen'!510:510,"AAAAAH31+9c=",0)</f>
        <v>0</v>
      </c>
      <c r="HI14">
        <f>IF('Fungi &amp; Lichen'!511:511,"AAAAAH31+9g=",0)</f>
        <v>0</v>
      </c>
      <c r="HJ14">
        <f>IF('Fungi &amp; Lichen'!512:512,"AAAAAH31+9k=",0)</f>
        <v>0</v>
      </c>
      <c r="HK14">
        <f>IF('Fungi &amp; Lichen'!513:513,"AAAAAH31+9o=",0)</f>
        <v>0</v>
      </c>
      <c r="HL14">
        <f>IF('Fungi &amp; Lichen'!514:514,"AAAAAH31+9s=",0)</f>
        <v>0</v>
      </c>
      <c r="HM14">
        <f>IF('Fungi &amp; Lichen'!515:515,"AAAAAH31+9w=",0)</f>
        <v>0</v>
      </c>
      <c r="HN14">
        <f>IF('Fungi &amp; Lichen'!516:516,"AAAAAH31+90=",0)</f>
        <v>0</v>
      </c>
      <c r="HO14">
        <f>IF('Fungi &amp; Lichen'!517:517,"AAAAAH31+94=",0)</f>
        <v>0</v>
      </c>
      <c r="HP14">
        <f>IF('Fungi &amp; Lichen'!518:518,"AAAAAH31+98=",0)</f>
        <v>0</v>
      </c>
      <c r="HQ14">
        <f>IF('Fungi &amp; Lichen'!519:519,"AAAAAH31++A=",0)</f>
        <v>0</v>
      </c>
      <c r="HR14">
        <f>IF('Fungi &amp; Lichen'!520:520,"AAAAAH31++E=",0)</f>
        <v>0</v>
      </c>
      <c r="HS14">
        <f>IF('Fungi &amp; Lichen'!521:521,"AAAAAH31++I=",0)</f>
        <v>0</v>
      </c>
      <c r="HT14">
        <f>IF('Fungi &amp; Lichen'!522:522,"AAAAAH31++M=",0)</f>
        <v>0</v>
      </c>
      <c r="HU14">
        <f>IF('Fungi &amp; Lichen'!523:523,"AAAAAH31++Q=",0)</f>
        <v>0</v>
      </c>
      <c r="HV14">
        <f>IF('Fungi &amp; Lichen'!524:524,"AAAAAH31++U=",0)</f>
        <v>0</v>
      </c>
      <c r="HW14">
        <f>IF('Fungi &amp; Lichen'!525:525,"AAAAAH31++Y=",0)</f>
        <v>0</v>
      </c>
      <c r="HX14">
        <f>IF('Fungi &amp; Lichen'!526:526,"AAAAAH31++c=",0)</f>
        <v>0</v>
      </c>
      <c r="HY14">
        <f>IF('Fungi &amp; Lichen'!527:527,"AAAAAH31++g=",0)</f>
        <v>0</v>
      </c>
      <c r="HZ14">
        <f>IF('Fungi &amp; Lichen'!528:528,"AAAAAH31++k=",0)</f>
        <v>0</v>
      </c>
      <c r="IA14">
        <f>IF('Fungi &amp; Lichen'!529:529,"AAAAAH31++o=",0)</f>
        <v>0</v>
      </c>
      <c r="IB14">
        <f>IF('Fungi &amp; Lichen'!530:530,"AAAAAH31++s=",0)</f>
        <v>0</v>
      </c>
      <c r="IC14">
        <f>IF('Fungi &amp; Lichen'!531:531,"AAAAAH31++w=",0)</f>
        <v>0</v>
      </c>
      <c r="ID14">
        <f>IF('Fungi &amp; Lichen'!532:532,"AAAAAH31++0=",0)</f>
        <v>0</v>
      </c>
      <c r="IE14">
        <f>IF('Fungi &amp; Lichen'!533:533,"AAAAAH31++4=",0)</f>
        <v>0</v>
      </c>
      <c r="IF14">
        <f>IF('Fungi &amp; Lichen'!534:534,"AAAAAH31++8=",0)</f>
        <v>0</v>
      </c>
      <c r="IG14">
        <f>IF('Fungi &amp; Lichen'!535:535,"AAAAAH31+/A=",0)</f>
        <v>0</v>
      </c>
      <c r="IH14">
        <f>IF('Fungi &amp; Lichen'!536:536,"AAAAAH31+/E=",0)</f>
        <v>0</v>
      </c>
      <c r="II14">
        <f>IF('Fungi &amp; Lichen'!537:537,"AAAAAH31+/I=",0)</f>
        <v>0</v>
      </c>
      <c r="IJ14">
        <f>IF('Fungi &amp; Lichen'!538:538,"AAAAAH31+/M=",0)</f>
        <v>0</v>
      </c>
      <c r="IK14">
        <f>IF('Fungi &amp; Lichen'!539:539,"AAAAAH31+/Q=",0)</f>
        <v>0</v>
      </c>
      <c r="IL14">
        <f>IF('Fungi &amp; Lichen'!540:540,"AAAAAH31+/U=",0)</f>
        <v>0</v>
      </c>
      <c r="IM14">
        <f>IF('Fungi &amp; Lichen'!541:541,"AAAAAH31+/Y=",0)</f>
        <v>0</v>
      </c>
      <c r="IN14">
        <f>IF('Fungi &amp; Lichen'!542:542,"AAAAAH31+/c=",0)</f>
        <v>0</v>
      </c>
      <c r="IO14">
        <f>IF('Fungi &amp; Lichen'!543:543,"AAAAAH31+/g=",0)</f>
        <v>0</v>
      </c>
      <c r="IP14">
        <f>IF('Fungi &amp; Lichen'!544:544,"AAAAAH31+/k=",0)</f>
        <v>0</v>
      </c>
      <c r="IQ14">
        <f>IF('Fungi &amp; Lichen'!545:545,"AAAAAH31+/o=",0)</f>
        <v>0</v>
      </c>
      <c r="IR14">
        <f>IF('Fungi &amp; Lichen'!546:546,"AAAAAH31+/s=",0)</f>
        <v>0</v>
      </c>
      <c r="IS14">
        <f>IF('Fungi &amp; Lichen'!547:547,"AAAAAH31+/w=",0)</f>
        <v>0</v>
      </c>
      <c r="IT14">
        <f>IF('Fungi &amp; Lichen'!548:548,"AAAAAH31+/0=",0)</f>
        <v>0</v>
      </c>
      <c r="IU14">
        <f>IF('Fungi &amp; Lichen'!549:549,"AAAAAH31+/4=",0)</f>
        <v>0</v>
      </c>
      <c r="IV14">
        <f>IF('Fungi &amp; Lichen'!550:550,"AAAAAH31+/8=",0)</f>
        <v>0</v>
      </c>
    </row>
    <row r="15" spans="1:256">
      <c r="A15">
        <f>IF('Fungi &amp; Lichen'!551:551,"AAAAAE/Z5wA=",0)</f>
        <v>0</v>
      </c>
      <c r="B15">
        <f>IF('Fungi &amp; Lichen'!552:552,"AAAAAE/Z5wE=",0)</f>
        <v>0</v>
      </c>
      <c r="C15">
        <f>IF('Fungi &amp; Lichen'!553:553,"AAAAAE/Z5wI=",0)</f>
        <v>0</v>
      </c>
      <c r="D15">
        <f>IF('Fungi &amp; Lichen'!554:554,"AAAAAE/Z5wM=",0)</f>
        <v>0</v>
      </c>
      <c r="E15">
        <f>IF('Fungi &amp; Lichen'!555:555,"AAAAAE/Z5wQ=",0)</f>
        <v>0</v>
      </c>
      <c r="F15">
        <f>IF('Fungi &amp; Lichen'!556:556,"AAAAAE/Z5wU=",0)</f>
        <v>0</v>
      </c>
      <c r="G15">
        <f>IF('Fungi &amp; Lichen'!557:557,"AAAAAE/Z5wY=",0)</f>
        <v>0</v>
      </c>
      <c r="H15">
        <f>IF('Fungi &amp; Lichen'!558:558,"AAAAAE/Z5wc=",0)</f>
        <v>0</v>
      </c>
      <c r="I15">
        <f>IF('Fungi &amp; Lichen'!559:559,"AAAAAE/Z5wg=",0)</f>
        <v>0</v>
      </c>
      <c r="J15">
        <f>IF('Fungi &amp; Lichen'!560:560,"AAAAAE/Z5wk=",0)</f>
        <v>0</v>
      </c>
      <c r="K15">
        <f>IF('Fungi &amp; Lichen'!561:561,"AAAAAE/Z5wo=",0)</f>
        <v>0</v>
      </c>
      <c r="L15">
        <f>IF('Fungi &amp; Lichen'!562:562,"AAAAAE/Z5ws=",0)</f>
        <v>0</v>
      </c>
      <c r="M15">
        <f>IF('Fungi &amp; Lichen'!563:563,"AAAAAE/Z5ww=",0)</f>
        <v>0</v>
      </c>
      <c r="N15">
        <f>IF('Fungi &amp; Lichen'!564:564,"AAAAAE/Z5w0=",0)</f>
        <v>0</v>
      </c>
      <c r="O15">
        <f>IF('Fungi &amp; Lichen'!565:565,"AAAAAE/Z5w4=",0)</f>
        <v>0</v>
      </c>
      <c r="P15">
        <f>IF('Fungi &amp; Lichen'!566:566,"AAAAAE/Z5w8=",0)</f>
        <v>0</v>
      </c>
      <c r="Q15">
        <f>IF('Fungi &amp; Lichen'!567:567,"AAAAAE/Z5xA=",0)</f>
        <v>0</v>
      </c>
      <c r="R15">
        <f>IF('Fungi &amp; Lichen'!568:568,"AAAAAE/Z5xE=",0)</f>
        <v>0</v>
      </c>
      <c r="S15">
        <f>IF('Fungi &amp; Lichen'!569:569,"AAAAAE/Z5xI=",0)</f>
        <v>0</v>
      </c>
      <c r="T15">
        <f>IF('Fungi &amp; Lichen'!570:570,"AAAAAE/Z5xM=",0)</f>
        <v>0</v>
      </c>
      <c r="U15">
        <f>IF('Fungi &amp; Lichen'!571:571,"AAAAAE/Z5xQ=",0)</f>
        <v>0</v>
      </c>
      <c r="V15">
        <f>IF('Fungi &amp; Lichen'!572:572,"AAAAAE/Z5xU=",0)</f>
        <v>0</v>
      </c>
      <c r="W15">
        <f>IF('Fungi &amp; Lichen'!573:573,"AAAAAE/Z5xY=",0)</f>
        <v>0</v>
      </c>
      <c r="X15">
        <f>IF('Fungi &amp; Lichen'!574:574,"AAAAAE/Z5xc=",0)</f>
        <v>0</v>
      </c>
      <c r="Y15">
        <f>IF('Fungi &amp; Lichen'!575:575,"AAAAAE/Z5xg=",0)</f>
        <v>0</v>
      </c>
      <c r="Z15">
        <f>IF('Fungi &amp; Lichen'!576:576,"AAAAAE/Z5xk=",0)</f>
        <v>0</v>
      </c>
      <c r="AA15">
        <f>IF('Fungi &amp; Lichen'!577:577,"AAAAAE/Z5xo=",0)</f>
        <v>0</v>
      </c>
      <c r="AB15">
        <f>IF('Fungi &amp; Lichen'!578:578,"AAAAAE/Z5xs=",0)</f>
        <v>0</v>
      </c>
      <c r="AC15">
        <f>IF('Fungi &amp; Lichen'!579:579,"AAAAAE/Z5xw=",0)</f>
        <v>0</v>
      </c>
      <c r="AD15">
        <f>IF('Fungi &amp; Lichen'!580:580,"AAAAAE/Z5x0=",0)</f>
        <v>0</v>
      </c>
      <c r="AE15">
        <f>IF('Fungi &amp; Lichen'!581:581,"AAAAAE/Z5x4=",0)</f>
        <v>0</v>
      </c>
      <c r="AF15">
        <f>IF('Fungi &amp; Lichen'!582:582,"AAAAAE/Z5x8=",0)</f>
        <v>0</v>
      </c>
      <c r="AG15">
        <f>IF('Fungi &amp; Lichen'!583:583,"AAAAAE/Z5yA=",0)</f>
        <v>0</v>
      </c>
      <c r="AH15">
        <f>IF('Fungi &amp; Lichen'!584:584,"AAAAAE/Z5yE=",0)</f>
        <v>0</v>
      </c>
      <c r="AI15">
        <f>IF('Fungi &amp; Lichen'!585:585,"AAAAAE/Z5yI=",0)</f>
        <v>0</v>
      </c>
      <c r="AJ15">
        <f>IF('Fungi &amp; Lichen'!586:586,"AAAAAE/Z5yM=",0)</f>
        <v>0</v>
      </c>
      <c r="AK15">
        <f>IF('Fungi &amp; Lichen'!587:587,"AAAAAE/Z5yQ=",0)</f>
        <v>0</v>
      </c>
      <c r="AL15">
        <f>IF('Fungi &amp; Lichen'!588:588,"AAAAAE/Z5yU=",0)</f>
        <v>0</v>
      </c>
      <c r="AM15">
        <f>IF('Fungi &amp; Lichen'!589:589,"AAAAAE/Z5yY=",0)</f>
        <v>0</v>
      </c>
      <c r="AN15">
        <f>IF('Fungi &amp; Lichen'!590:590,"AAAAAE/Z5yc=",0)</f>
        <v>0</v>
      </c>
      <c r="AO15">
        <f>IF('Fungi &amp; Lichen'!591:591,"AAAAAE/Z5yg=",0)</f>
        <v>0</v>
      </c>
      <c r="AP15">
        <f>IF('Fungi &amp; Lichen'!592:592,"AAAAAE/Z5yk=",0)</f>
        <v>0</v>
      </c>
      <c r="AQ15">
        <f>IF('Fungi &amp; Lichen'!593:593,"AAAAAE/Z5yo=",0)</f>
        <v>0</v>
      </c>
      <c r="AR15">
        <f>IF('Fungi &amp; Lichen'!594:594,"AAAAAE/Z5ys=",0)</f>
        <v>0</v>
      </c>
      <c r="AS15">
        <f>IF('Fungi &amp; Lichen'!595:595,"AAAAAE/Z5yw=",0)</f>
        <v>0</v>
      </c>
      <c r="AT15">
        <f>IF('Fungi &amp; Lichen'!596:596,"AAAAAE/Z5y0=",0)</f>
        <v>0</v>
      </c>
      <c r="AU15">
        <f>IF('Fungi &amp; Lichen'!597:597,"AAAAAE/Z5y4=",0)</f>
        <v>0</v>
      </c>
      <c r="AV15">
        <f>IF('Fungi &amp; Lichen'!598:598,"AAAAAE/Z5y8=",0)</f>
        <v>0</v>
      </c>
      <c r="AW15">
        <f>IF('Fungi &amp; Lichen'!599:599,"AAAAAE/Z5zA=",0)</f>
        <v>0</v>
      </c>
      <c r="AX15">
        <f>IF('Fungi &amp; Lichen'!600:600,"AAAAAE/Z5zE=",0)</f>
        <v>0</v>
      </c>
      <c r="AY15">
        <f>IF('Fungi &amp; Lichen'!601:601,"AAAAAE/Z5zI=",0)</f>
        <v>0</v>
      </c>
      <c r="AZ15">
        <f>IF('Fungi &amp; Lichen'!602:602,"AAAAAE/Z5zM=",0)</f>
        <v>0</v>
      </c>
      <c r="BA15">
        <f>IF('Fungi &amp; Lichen'!603:603,"AAAAAE/Z5zQ=",0)</f>
        <v>0</v>
      </c>
      <c r="BB15">
        <f>IF('Fungi &amp; Lichen'!604:604,"AAAAAE/Z5zU=",0)</f>
        <v>0</v>
      </c>
      <c r="BC15">
        <f>IF('Fungi &amp; Lichen'!605:605,"AAAAAE/Z5zY=",0)</f>
        <v>0</v>
      </c>
      <c r="BD15">
        <f>IF('Fungi &amp; Lichen'!606:606,"AAAAAE/Z5zc=",0)</f>
        <v>0</v>
      </c>
      <c r="BE15">
        <f>IF('Fungi &amp; Lichen'!607:607,"AAAAAE/Z5zg=",0)</f>
        <v>0</v>
      </c>
      <c r="BF15">
        <f>IF('Fungi &amp; Lichen'!608:608,"AAAAAE/Z5zk=",0)</f>
        <v>0</v>
      </c>
      <c r="BG15">
        <f>IF('Fungi &amp; Lichen'!609:609,"AAAAAE/Z5zo=",0)</f>
        <v>0</v>
      </c>
      <c r="BH15">
        <f>IF('Fungi &amp; Lichen'!610:610,"AAAAAE/Z5zs=",0)</f>
        <v>0</v>
      </c>
      <c r="BI15">
        <f>IF('Fungi &amp; Lichen'!611:611,"AAAAAE/Z5zw=",0)</f>
        <v>0</v>
      </c>
      <c r="BJ15">
        <f>IF('Fungi &amp; Lichen'!612:612,"AAAAAE/Z5z0=",0)</f>
        <v>0</v>
      </c>
      <c r="BK15">
        <f>IF('Fungi &amp; Lichen'!613:613,"AAAAAE/Z5z4=",0)</f>
        <v>0</v>
      </c>
      <c r="BL15">
        <f>IF('Fungi &amp; Lichen'!614:614,"AAAAAE/Z5z8=",0)</f>
        <v>0</v>
      </c>
      <c r="BM15">
        <f>IF('Fungi &amp; Lichen'!615:615,"AAAAAE/Z50A=",0)</f>
        <v>0</v>
      </c>
      <c r="BN15">
        <f>IF('Fungi &amp; Lichen'!616:616,"AAAAAE/Z50E=",0)</f>
        <v>0</v>
      </c>
      <c r="BO15">
        <f>IF('Fungi &amp; Lichen'!617:617,"AAAAAE/Z50I=",0)</f>
        <v>0</v>
      </c>
      <c r="BP15">
        <f>IF('Fungi &amp; Lichen'!618:618,"AAAAAE/Z50M=",0)</f>
        <v>0</v>
      </c>
      <c r="BQ15">
        <f>IF('Fungi &amp; Lichen'!619:619,"AAAAAE/Z50Q=",0)</f>
        <v>0</v>
      </c>
      <c r="BR15">
        <f>IF('Fungi &amp; Lichen'!620:620,"AAAAAE/Z50U=",0)</f>
        <v>0</v>
      </c>
      <c r="BS15">
        <f>IF('Fungi &amp; Lichen'!621:621,"AAAAAE/Z50Y=",0)</f>
        <v>0</v>
      </c>
      <c r="BT15">
        <f>IF('Fungi &amp; Lichen'!622:622,"AAAAAE/Z50c=",0)</f>
        <v>0</v>
      </c>
      <c r="BU15">
        <f>IF('Fungi &amp; Lichen'!623:623,"AAAAAE/Z50g=",0)</f>
        <v>0</v>
      </c>
      <c r="BV15">
        <f>IF('Fungi &amp; Lichen'!624:624,"AAAAAE/Z50k=",0)</f>
        <v>0</v>
      </c>
      <c r="BW15">
        <f>IF('Fungi &amp; Lichen'!625:625,"AAAAAE/Z50o=",0)</f>
        <v>0</v>
      </c>
      <c r="BX15">
        <f>IF('Fungi &amp; Lichen'!626:626,"AAAAAE/Z50s=",0)</f>
        <v>0</v>
      </c>
      <c r="BY15">
        <f>IF('Fungi &amp; Lichen'!627:627,"AAAAAE/Z50w=",0)</f>
        <v>0</v>
      </c>
      <c r="BZ15">
        <f>IF('Fungi &amp; Lichen'!628:628,"AAAAAE/Z500=",0)</f>
        <v>0</v>
      </c>
      <c r="CA15">
        <f>IF('Fungi &amp; Lichen'!629:629,"AAAAAE/Z504=",0)</f>
        <v>0</v>
      </c>
      <c r="CB15">
        <f>IF('Fungi &amp; Lichen'!630:630,"AAAAAE/Z508=",0)</f>
        <v>0</v>
      </c>
      <c r="CC15">
        <f>IF('Fungi &amp; Lichen'!631:631,"AAAAAE/Z51A=",0)</f>
        <v>0</v>
      </c>
      <c r="CD15">
        <f>IF('Fungi &amp; Lichen'!632:632,"AAAAAE/Z51E=",0)</f>
        <v>0</v>
      </c>
      <c r="CE15">
        <f>IF('Fungi &amp; Lichen'!633:633,"AAAAAE/Z51I=",0)</f>
        <v>0</v>
      </c>
      <c r="CF15">
        <f>IF('Fungi &amp; Lichen'!634:634,"AAAAAE/Z51M=",0)</f>
        <v>0</v>
      </c>
      <c r="CG15">
        <f>IF('Fungi &amp; Lichen'!635:635,"AAAAAE/Z51Q=",0)</f>
        <v>0</v>
      </c>
      <c r="CH15">
        <f>IF('Fungi &amp; Lichen'!636:636,"AAAAAE/Z51U=",0)</f>
        <v>0</v>
      </c>
      <c r="CI15">
        <f>IF('Fungi &amp; Lichen'!637:637,"AAAAAE/Z51Y=",0)</f>
        <v>0</v>
      </c>
      <c r="CJ15">
        <f>IF('Fungi &amp; Lichen'!638:638,"AAAAAE/Z51c=",0)</f>
        <v>0</v>
      </c>
      <c r="CK15">
        <f>IF('Fungi &amp; Lichen'!639:639,"AAAAAE/Z51g=",0)</f>
        <v>0</v>
      </c>
      <c r="CL15">
        <f>IF('Fungi &amp; Lichen'!640:640,"AAAAAE/Z51k=",0)</f>
        <v>0</v>
      </c>
      <c r="CM15">
        <f>IF('Fungi &amp; Lichen'!641:641,"AAAAAE/Z51o=",0)</f>
        <v>0</v>
      </c>
      <c r="CN15">
        <f>IF('Fungi &amp; Lichen'!642:642,"AAAAAE/Z51s=",0)</f>
        <v>0</v>
      </c>
      <c r="CO15">
        <f>IF('Fungi &amp; Lichen'!643:643,"AAAAAE/Z51w=",0)</f>
        <v>0</v>
      </c>
      <c r="CP15">
        <f>IF('Fungi &amp; Lichen'!644:644,"AAAAAE/Z510=",0)</f>
        <v>0</v>
      </c>
      <c r="CQ15">
        <f>IF('Fungi &amp; Lichen'!645:645,"AAAAAE/Z514=",0)</f>
        <v>0</v>
      </c>
      <c r="CR15">
        <f>IF('Fungi &amp; Lichen'!646:646,"AAAAAE/Z518=",0)</f>
        <v>0</v>
      </c>
      <c r="CS15">
        <f>IF('Fungi &amp; Lichen'!647:647,"AAAAAE/Z52A=",0)</f>
        <v>0</v>
      </c>
      <c r="CT15">
        <f>IF('Fungi &amp; Lichen'!648:648,"AAAAAE/Z52E=",0)</f>
        <v>0</v>
      </c>
      <c r="CU15">
        <f>IF('Fungi &amp; Lichen'!649:649,"AAAAAE/Z52I=",0)</f>
        <v>0</v>
      </c>
      <c r="CV15">
        <f>IF('Fungi &amp; Lichen'!650:650,"AAAAAE/Z52M=",0)</f>
        <v>0</v>
      </c>
      <c r="CW15">
        <f>IF('Fungi &amp; Lichen'!651:651,"AAAAAE/Z52Q=",0)</f>
        <v>0</v>
      </c>
      <c r="CX15">
        <f>IF('Fungi &amp; Lichen'!652:652,"AAAAAE/Z52U=",0)</f>
        <v>0</v>
      </c>
      <c r="CY15">
        <f>IF('Fungi &amp; Lichen'!653:653,"AAAAAE/Z52Y=",0)</f>
        <v>0</v>
      </c>
      <c r="CZ15">
        <f>IF('Fungi &amp; Lichen'!654:654,"AAAAAE/Z52c=",0)</f>
        <v>0</v>
      </c>
      <c r="DA15">
        <f>IF('Fungi &amp; Lichen'!655:655,"AAAAAE/Z52g=",0)</f>
        <v>0</v>
      </c>
      <c r="DB15">
        <f>IF('Fungi &amp; Lichen'!656:656,"AAAAAE/Z52k=",0)</f>
        <v>0</v>
      </c>
      <c r="DC15">
        <f>IF('Fungi &amp; Lichen'!657:657,"AAAAAE/Z52o=",0)</f>
        <v>0</v>
      </c>
      <c r="DD15">
        <f>IF('Fungi &amp; Lichen'!658:658,"AAAAAE/Z52s=",0)</f>
        <v>0</v>
      </c>
      <c r="DE15">
        <f>IF('Fungi &amp; Lichen'!659:659,"AAAAAE/Z52w=",0)</f>
        <v>0</v>
      </c>
      <c r="DF15">
        <f>IF('Fungi &amp; Lichen'!660:660,"AAAAAE/Z520=",0)</f>
        <v>0</v>
      </c>
      <c r="DG15">
        <f>IF('Fungi &amp; Lichen'!661:661,"AAAAAE/Z524=",0)</f>
        <v>0</v>
      </c>
      <c r="DH15">
        <f>IF('Fungi &amp; Lichen'!662:662,"AAAAAE/Z528=",0)</f>
        <v>0</v>
      </c>
      <c r="DI15">
        <f>IF('Fungi &amp; Lichen'!663:663,"AAAAAE/Z53A=",0)</f>
        <v>0</v>
      </c>
      <c r="DJ15">
        <f>IF('Fungi &amp; Lichen'!664:664,"AAAAAE/Z53E=",0)</f>
        <v>0</v>
      </c>
      <c r="DK15">
        <f>IF('Fungi &amp; Lichen'!665:665,"AAAAAE/Z53I=",0)</f>
        <v>0</v>
      </c>
      <c r="DL15">
        <f>IF('Fungi &amp; Lichen'!666:666,"AAAAAE/Z53M=",0)</f>
        <v>0</v>
      </c>
      <c r="DM15">
        <f>IF('Fungi &amp; Lichen'!667:667,"AAAAAE/Z53Q=",0)</f>
        <v>0</v>
      </c>
      <c r="DN15">
        <f>IF('Fungi &amp; Lichen'!668:668,"AAAAAE/Z53U=",0)</f>
        <v>0</v>
      </c>
      <c r="DO15">
        <f>IF('Fungi &amp; Lichen'!669:669,"AAAAAE/Z53Y=",0)</f>
        <v>0</v>
      </c>
      <c r="DP15">
        <f>IF('Fungi &amp; Lichen'!670:670,"AAAAAE/Z53c=",0)</f>
        <v>0</v>
      </c>
      <c r="DQ15">
        <f>IF('Fungi &amp; Lichen'!671:671,"AAAAAE/Z53g=",0)</f>
        <v>0</v>
      </c>
      <c r="DR15">
        <f>IF('Fungi &amp; Lichen'!672:672,"AAAAAE/Z53k=",0)</f>
        <v>0</v>
      </c>
      <c r="DS15">
        <f>IF('Fungi &amp; Lichen'!673:673,"AAAAAE/Z53o=",0)</f>
        <v>0</v>
      </c>
      <c r="DT15">
        <f>IF('Fungi &amp; Lichen'!674:674,"AAAAAE/Z53s=",0)</f>
        <v>0</v>
      </c>
      <c r="DU15">
        <f>IF('Fungi &amp; Lichen'!675:675,"AAAAAE/Z53w=",0)</f>
        <v>0</v>
      </c>
      <c r="DV15">
        <f>IF('Fungi &amp; Lichen'!676:676,"AAAAAE/Z530=",0)</f>
        <v>0</v>
      </c>
      <c r="DW15">
        <f>IF('Fungi &amp; Lichen'!677:677,"AAAAAE/Z534=",0)</f>
        <v>0</v>
      </c>
      <c r="DX15">
        <f>IF('Fungi &amp; Lichen'!678:678,"AAAAAE/Z538=",0)</f>
        <v>0</v>
      </c>
      <c r="DY15">
        <f>IF('Fungi &amp; Lichen'!679:679,"AAAAAE/Z54A=",0)</f>
        <v>0</v>
      </c>
      <c r="DZ15">
        <f>IF('Fungi &amp; Lichen'!680:680,"AAAAAE/Z54E=",0)</f>
        <v>0</v>
      </c>
      <c r="EA15">
        <f>IF('Fungi &amp; Lichen'!681:681,"AAAAAE/Z54I=",0)</f>
        <v>0</v>
      </c>
      <c r="EB15">
        <f>IF('Fungi &amp; Lichen'!682:682,"AAAAAE/Z54M=",0)</f>
        <v>0</v>
      </c>
      <c r="EC15">
        <f>IF('Fungi &amp; Lichen'!683:683,"AAAAAE/Z54Q=",0)</f>
        <v>0</v>
      </c>
      <c r="ED15">
        <f>IF('Fungi &amp; Lichen'!684:684,"AAAAAE/Z54U=",0)</f>
        <v>0</v>
      </c>
      <c r="EE15">
        <f>IF('Fungi &amp; Lichen'!685:685,"AAAAAE/Z54Y=",0)</f>
        <v>0</v>
      </c>
      <c r="EF15">
        <f>IF('Fungi &amp; Lichen'!686:686,"AAAAAE/Z54c=",0)</f>
        <v>0</v>
      </c>
      <c r="EG15">
        <f>IF('Fungi &amp; Lichen'!687:687,"AAAAAE/Z54g=",0)</f>
        <v>0</v>
      </c>
      <c r="EH15">
        <f>IF('Fungi &amp; Lichen'!688:688,"AAAAAE/Z54k=",0)</f>
        <v>0</v>
      </c>
      <c r="EI15">
        <f>IF('Fungi &amp; Lichen'!689:689,"AAAAAE/Z54o=",0)</f>
        <v>0</v>
      </c>
      <c r="EJ15">
        <f>IF('Fungi &amp; Lichen'!690:690,"AAAAAE/Z54s=",0)</f>
        <v>0</v>
      </c>
      <c r="EK15">
        <f>IF('Fungi &amp; Lichen'!691:691,"AAAAAE/Z54w=",0)</f>
        <v>0</v>
      </c>
      <c r="EL15">
        <f>IF('Fungi &amp; Lichen'!692:692,"AAAAAE/Z540=",0)</f>
        <v>0</v>
      </c>
      <c r="EM15">
        <f>IF('Fungi &amp; Lichen'!693:693,"AAAAAE/Z544=",0)</f>
        <v>0</v>
      </c>
      <c r="EN15">
        <f>IF('Fungi &amp; Lichen'!694:694,"AAAAAE/Z548=",0)</f>
        <v>0</v>
      </c>
      <c r="EO15">
        <f>IF('Fungi &amp; Lichen'!695:695,"AAAAAE/Z55A=",0)</f>
        <v>0</v>
      </c>
      <c r="EP15">
        <f>IF('Fungi &amp; Lichen'!696:696,"AAAAAE/Z55E=",0)</f>
        <v>0</v>
      </c>
      <c r="EQ15">
        <f>IF('Fungi &amp; Lichen'!697:697,"AAAAAE/Z55I=",0)</f>
        <v>0</v>
      </c>
      <c r="ER15">
        <f>IF('Fungi &amp; Lichen'!698:698,"AAAAAE/Z55M=",0)</f>
        <v>0</v>
      </c>
      <c r="ES15">
        <f>IF('Fungi &amp; Lichen'!699:699,"AAAAAE/Z55Q=",0)</f>
        <v>0</v>
      </c>
      <c r="ET15">
        <f>IF('Fungi &amp; Lichen'!700:700,"AAAAAE/Z55U=",0)</f>
        <v>0</v>
      </c>
      <c r="EU15">
        <f>IF('Fungi &amp; Lichen'!701:701,"AAAAAE/Z55Y=",0)</f>
        <v>0</v>
      </c>
      <c r="EV15">
        <f>IF('Fungi &amp; Lichen'!702:702,"AAAAAE/Z55c=",0)</f>
        <v>0</v>
      </c>
      <c r="EW15">
        <f>IF('Fungi &amp; Lichen'!703:703,"AAAAAE/Z55g=",0)</f>
        <v>0</v>
      </c>
      <c r="EX15">
        <f>IF('Fungi &amp; Lichen'!704:704,"AAAAAE/Z55k=",0)</f>
        <v>0</v>
      </c>
      <c r="EY15">
        <f>IF('Fungi &amp; Lichen'!705:705,"AAAAAE/Z55o=",0)</f>
        <v>0</v>
      </c>
      <c r="EZ15">
        <f>IF('Fungi &amp; Lichen'!706:706,"AAAAAE/Z55s=",0)</f>
        <v>0</v>
      </c>
      <c r="FA15">
        <f>IF('Fungi &amp; Lichen'!707:707,"AAAAAE/Z55w=",0)</f>
        <v>0</v>
      </c>
      <c r="FB15">
        <f>IF('Fungi &amp; Lichen'!708:708,"AAAAAE/Z550=",0)</f>
        <v>0</v>
      </c>
      <c r="FC15">
        <f>IF('Fungi &amp; Lichen'!709:709,"AAAAAE/Z554=",0)</f>
        <v>0</v>
      </c>
      <c r="FD15">
        <f>IF('Fungi &amp; Lichen'!710:710,"AAAAAE/Z558=",0)</f>
        <v>0</v>
      </c>
      <c r="FE15">
        <f>IF('Fungi &amp; Lichen'!711:711,"AAAAAE/Z56A=",0)</f>
        <v>0</v>
      </c>
      <c r="FF15">
        <f>IF('Fungi &amp; Lichen'!712:712,"AAAAAE/Z56E=",0)</f>
        <v>0</v>
      </c>
      <c r="FG15">
        <f>IF('Fungi &amp; Lichen'!713:713,"AAAAAE/Z56I=",0)</f>
        <v>0</v>
      </c>
      <c r="FH15">
        <f>IF('Fungi &amp; Lichen'!714:714,"AAAAAE/Z56M=",0)</f>
        <v>0</v>
      </c>
      <c r="FI15">
        <f>IF('Fungi &amp; Lichen'!715:715,"AAAAAE/Z56Q=",0)</f>
        <v>0</v>
      </c>
      <c r="FJ15">
        <f>IF('Fungi &amp; Lichen'!716:716,"AAAAAE/Z56U=",0)</f>
        <v>0</v>
      </c>
      <c r="FK15">
        <f>IF('Fungi &amp; Lichen'!717:717,"AAAAAE/Z56Y=",0)</f>
        <v>0</v>
      </c>
      <c r="FL15">
        <f>IF('Fungi &amp; Lichen'!718:718,"AAAAAE/Z56c=",0)</f>
        <v>0</v>
      </c>
      <c r="FM15">
        <f>IF('Fungi &amp; Lichen'!719:719,"AAAAAE/Z56g=",0)</f>
        <v>0</v>
      </c>
      <c r="FN15">
        <f>IF('Fungi &amp; Lichen'!720:720,"AAAAAE/Z56k=",0)</f>
        <v>0</v>
      </c>
      <c r="FO15">
        <f>IF('Fungi &amp; Lichen'!721:721,"AAAAAE/Z56o=",0)</f>
        <v>0</v>
      </c>
      <c r="FP15">
        <f>IF('Fungi &amp; Lichen'!722:722,"AAAAAE/Z56s=",0)</f>
        <v>0</v>
      </c>
      <c r="FQ15">
        <f>IF('Fungi &amp; Lichen'!723:723,"AAAAAE/Z56w=",0)</f>
        <v>0</v>
      </c>
      <c r="FR15">
        <f>IF('Fungi &amp; Lichen'!724:724,"AAAAAE/Z560=",0)</f>
        <v>0</v>
      </c>
      <c r="FS15">
        <f>IF('Fungi &amp; Lichen'!725:725,"AAAAAE/Z564=",0)</f>
        <v>0</v>
      </c>
      <c r="FT15">
        <f>IF('Fungi &amp; Lichen'!726:726,"AAAAAE/Z568=",0)</f>
        <v>0</v>
      </c>
      <c r="FU15">
        <f>IF('Fungi &amp; Lichen'!727:727,"AAAAAE/Z57A=",0)</f>
        <v>0</v>
      </c>
      <c r="FV15">
        <f>IF('Fungi &amp; Lichen'!728:728,"AAAAAE/Z57E=",0)</f>
        <v>0</v>
      </c>
      <c r="FW15">
        <f>IF('Fungi &amp; Lichen'!729:729,"AAAAAE/Z57I=",0)</f>
        <v>0</v>
      </c>
      <c r="FX15">
        <f>IF('Fungi &amp; Lichen'!730:730,"AAAAAE/Z57M=",0)</f>
        <v>0</v>
      </c>
      <c r="FY15">
        <f>IF('Fungi &amp; Lichen'!731:731,"AAAAAE/Z57Q=",0)</f>
        <v>0</v>
      </c>
      <c r="FZ15">
        <f>IF('Fungi &amp; Lichen'!732:732,"AAAAAE/Z57U=",0)</f>
        <v>0</v>
      </c>
      <c r="GA15">
        <f>IF('Fungi &amp; Lichen'!733:733,"AAAAAE/Z57Y=",0)</f>
        <v>0</v>
      </c>
      <c r="GB15">
        <f>IF('Fungi &amp; Lichen'!734:734,"AAAAAE/Z57c=",0)</f>
        <v>0</v>
      </c>
      <c r="GC15">
        <f>IF('Fungi &amp; Lichen'!735:735,"AAAAAE/Z57g=",0)</f>
        <v>0</v>
      </c>
      <c r="GD15">
        <f>IF('Fungi &amp; Lichen'!736:736,"AAAAAE/Z57k=",0)</f>
        <v>0</v>
      </c>
      <c r="GE15">
        <f>IF('Fungi &amp; Lichen'!737:737,"AAAAAE/Z57o=",0)</f>
        <v>0</v>
      </c>
      <c r="GF15">
        <f>IF('Fungi &amp; Lichen'!738:738,"AAAAAE/Z57s=",0)</f>
        <v>0</v>
      </c>
      <c r="GG15">
        <f>IF('Fungi &amp; Lichen'!739:739,"AAAAAE/Z57w=",0)</f>
        <v>0</v>
      </c>
      <c r="GH15">
        <f>IF('Fungi &amp; Lichen'!740:740,"AAAAAE/Z570=",0)</f>
        <v>0</v>
      </c>
      <c r="GI15">
        <f>IF('Fungi &amp; Lichen'!741:741,"AAAAAE/Z574=",0)</f>
        <v>0</v>
      </c>
      <c r="GJ15">
        <f>IF('Fungi &amp; Lichen'!742:742,"AAAAAE/Z578=",0)</f>
        <v>0</v>
      </c>
      <c r="GK15">
        <f>IF('Fungi &amp; Lichen'!743:743,"AAAAAE/Z58A=",0)</f>
        <v>0</v>
      </c>
      <c r="GL15">
        <f>IF('Fungi &amp; Lichen'!744:744,"AAAAAE/Z58E=",0)</f>
        <v>0</v>
      </c>
      <c r="GM15">
        <f>IF('Fungi &amp; Lichen'!745:745,"AAAAAE/Z58I=",0)</f>
        <v>0</v>
      </c>
      <c r="GN15">
        <f>IF('Fungi &amp; Lichen'!746:746,"AAAAAE/Z58M=",0)</f>
        <v>0</v>
      </c>
      <c r="GO15">
        <f>IF('Fungi &amp; Lichen'!747:747,"AAAAAE/Z58Q=",0)</f>
        <v>0</v>
      </c>
      <c r="GP15">
        <f>IF('Fungi &amp; Lichen'!748:748,"AAAAAE/Z58U=",0)</f>
        <v>0</v>
      </c>
      <c r="GQ15">
        <f>IF('Fungi &amp; Lichen'!749:749,"AAAAAE/Z58Y=",0)</f>
        <v>0</v>
      </c>
      <c r="GR15">
        <f>IF('Fungi &amp; Lichen'!750:750,"AAAAAE/Z58c=",0)</f>
        <v>0</v>
      </c>
      <c r="GS15">
        <f>IF('Fungi &amp; Lichen'!751:751,"AAAAAE/Z58g=",0)</f>
        <v>0</v>
      </c>
      <c r="GT15">
        <f>IF('Fungi &amp; Lichen'!752:752,"AAAAAE/Z58k=",0)</f>
        <v>0</v>
      </c>
      <c r="GU15">
        <f>IF('Fungi &amp; Lichen'!753:753,"AAAAAE/Z58o=",0)</f>
        <v>0</v>
      </c>
      <c r="GV15">
        <f>IF('Fungi &amp; Lichen'!754:754,"AAAAAE/Z58s=",0)</f>
        <v>0</v>
      </c>
      <c r="GW15">
        <f>IF('Fungi &amp; Lichen'!755:755,"AAAAAE/Z58w=",0)</f>
        <v>0</v>
      </c>
      <c r="GX15">
        <f>IF('Fungi &amp; Lichen'!756:756,"AAAAAE/Z580=",0)</f>
        <v>0</v>
      </c>
      <c r="GY15">
        <f>IF('Fungi &amp; Lichen'!757:757,"AAAAAE/Z584=",0)</f>
        <v>0</v>
      </c>
      <c r="GZ15">
        <f>IF('Fungi &amp; Lichen'!758:758,"AAAAAE/Z588=",0)</f>
        <v>0</v>
      </c>
      <c r="HA15">
        <f>IF('Fungi &amp; Lichen'!759:759,"AAAAAE/Z59A=",0)</f>
        <v>0</v>
      </c>
      <c r="HB15">
        <f>IF('Fungi &amp; Lichen'!760:760,"AAAAAE/Z59E=",0)</f>
        <v>0</v>
      </c>
      <c r="HC15">
        <f>IF('Fungi &amp; Lichen'!761:761,"AAAAAE/Z59I=",0)</f>
        <v>0</v>
      </c>
      <c r="HD15">
        <f>IF('Fungi &amp; Lichen'!762:762,"AAAAAE/Z59M=",0)</f>
        <v>0</v>
      </c>
      <c r="HE15">
        <f>IF('Fungi &amp; Lichen'!763:763,"AAAAAE/Z59Q=",0)</f>
        <v>0</v>
      </c>
      <c r="HF15">
        <f>IF('Fungi &amp; Lichen'!764:764,"AAAAAE/Z59U=",0)</f>
        <v>0</v>
      </c>
      <c r="HG15">
        <f>IF('Fungi &amp; Lichen'!765:765,"AAAAAE/Z59Y=",0)</f>
        <v>0</v>
      </c>
      <c r="HH15">
        <f>IF('Fungi &amp; Lichen'!766:766,"AAAAAE/Z59c=",0)</f>
        <v>0</v>
      </c>
      <c r="HI15">
        <f>IF('Fungi &amp; Lichen'!767:767,"AAAAAE/Z59g=",0)</f>
        <v>0</v>
      </c>
      <c r="HJ15">
        <f>IF('Fungi &amp; Lichen'!768:768,"AAAAAE/Z59k=",0)</f>
        <v>0</v>
      </c>
      <c r="HK15">
        <f>IF('Fungi &amp; Lichen'!769:769,"AAAAAE/Z59o=",0)</f>
        <v>0</v>
      </c>
      <c r="HL15">
        <f>IF('Fungi &amp; Lichen'!770:770,"AAAAAE/Z59s=",0)</f>
        <v>0</v>
      </c>
      <c r="HM15">
        <f>IF('Fungi &amp; Lichen'!771:771,"AAAAAE/Z59w=",0)</f>
        <v>0</v>
      </c>
      <c r="HN15">
        <f>IF('Fungi &amp; Lichen'!772:772,"AAAAAE/Z590=",0)</f>
        <v>0</v>
      </c>
      <c r="HO15">
        <f>IF('Fungi &amp; Lichen'!773:773,"AAAAAE/Z594=",0)</f>
        <v>0</v>
      </c>
      <c r="HP15">
        <f>IF('Fungi &amp; Lichen'!774:774,"AAAAAE/Z598=",0)</f>
        <v>0</v>
      </c>
      <c r="HQ15">
        <f>IF('Fungi &amp; Lichen'!775:775,"AAAAAE/Z5+A=",0)</f>
        <v>0</v>
      </c>
      <c r="HR15">
        <f>IF('Fungi &amp; Lichen'!776:776,"AAAAAE/Z5+E=",0)</f>
        <v>0</v>
      </c>
      <c r="HS15">
        <f>IF('Fungi &amp; Lichen'!777:777,"AAAAAE/Z5+I=",0)</f>
        <v>0</v>
      </c>
      <c r="HT15">
        <f>IF('Fungi &amp; Lichen'!778:778,"AAAAAE/Z5+M=",0)</f>
        <v>0</v>
      </c>
      <c r="HU15">
        <f>IF('Fungi &amp; Lichen'!779:779,"AAAAAE/Z5+Q=",0)</f>
        <v>0</v>
      </c>
      <c r="HV15">
        <f>IF('Fungi &amp; Lichen'!780:780,"AAAAAE/Z5+U=",0)</f>
        <v>0</v>
      </c>
      <c r="HW15">
        <f>IF('Fungi &amp; Lichen'!781:781,"AAAAAE/Z5+Y=",0)</f>
        <v>0</v>
      </c>
      <c r="HX15">
        <f>IF('Fungi &amp; Lichen'!782:782,"AAAAAE/Z5+c=",0)</f>
        <v>0</v>
      </c>
      <c r="HY15">
        <f>IF('Fungi &amp; Lichen'!783:783,"AAAAAE/Z5+g=",0)</f>
        <v>0</v>
      </c>
      <c r="HZ15">
        <f>IF('Fungi &amp; Lichen'!784:784,"AAAAAE/Z5+k=",0)</f>
        <v>0</v>
      </c>
      <c r="IA15">
        <f>IF('Fungi &amp; Lichen'!785:785,"AAAAAE/Z5+o=",0)</f>
        <v>0</v>
      </c>
      <c r="IB15">
        <f>IF('Fungi &amp; Lichen'!786:786,"AAAAAE/Z5+s=",0)</f>
        <v>0</v>
      </c>
      <c r="IC15">
        <f>IF('Fungi &amp; Lichen'!787:787,"AAAAAE/Z5+w=",0)</f>
        <v>0</v>
      </c>
      <c r="ID15">
        <f>IF('Fungi &amp; Lichen'!788:788,"AAAAAE/Z5+0=",0)</f>
        <v>0</v>
      </c>
      <c r="IE15">
        <f>IF('Fungi &amp; Lichen'!789:789,"AAAAAE/Z5+4=",0)</f>
        <v>0</v>
      </c>
      <c r="IF15">
        <f>IF('Fungi &amp; Lichen'!790:790,"AAAAAE/Z5+8=",0)</f>
        <v>0</v>
      </c>
      <c r="IG15">
        <f>IF('Fungi &amp; Lichen'!791:791,"AAAAAE/Z5/A=",0)</f>
        <v>0</v>
      </c>
      <c r="IH15">
        <f>IF('Fungi &amp; Lichen'!792:792,"AAAAAE/Z5/E=",0)</f>
        <v>0</v>
      </c>
      <c r="II15">
        <f>IF('Fungi &amp; Lichen'!793:793,"AAAAAE/Z5/I=",0)</f>
        <v>0</v>
      </c>
      <c r="IJ15">
        <f>IF('Fungi &amp; Lichen'!794:794,"AAAAAE/Z5/M=",0)</f>
        <v>0</v>
      </c>
      <c r="IK15">
        <f>IF('Fungi &amp; Lichen'!795:795,"AAAAAE/Z5/Q=",0)</f>
        <v>0</v>
      </c>
      <c r="IL15">
        <f>IF('Fungi &amp; Lichen'!796:796,"AAAAAE/Z5/U=",0)</f>
        <v>0</v>
      </c>
      <c r="IM15">
        <f>IF('Fungi &amp; Lichen'!797:797,"AAAAAE/Z5/Y=",0)</f>
        <v>0</v>
      </c>
      <c r="IN15">
        <f>IF('Fungi &amp; Lichen'!798:798,"AAAAAE/Z5/c=",0)</f>
        <v>0</v>
      </c>
      <c r="IO15">
        <f>IF('Fungi &amp; Lichen'!799:799,"AAAAAE/Z5/g=",0)</f>
        <v>0</v>
      </c>
      <c r="IP15">
        <f>IF('Fungi &amp; Lichen'!800:800,"AAAAAE/Z5/k=",0)</f>
        <v>0</v>
      </c>
      <c r="IQ15">
        <f>IF('Fungi &amp; Lichen'!801:801,"AAAAAE/Z5/o=",0)</f>
        <v>0</v>
      </c>
      <c r="IR15">
        <f>IF('Fungi &amp; Lichen'!802:802,"AAAAAE/Z5/s=",0)</f>
        <v>0</v>
      </c>
      <c r="IS15">
        <f>IF('Fungi &amp; Lichen'!803:803,"AAAAAE/Z5/w=",0)</f>
        <v>0</v>
      </c>
      <c r="IT15">
        <f>IF('Fungi &amp; Lichen'!804:804,"AAAAAE/Z5/0=",0)</f>
        <v>0</v>
      </c>
      <c r="IU15">
        <f>IF('Fungi &amp; Lichen'!805:805,"AAAAAE/Z5/4=",0)</f>
        <v>0</v>
      </c>
      <c r="IV15">
        <f>IF('Fungi &amp; Lichen'!806:806,"AAAAAE/Z5/8=",0)</f>
        <v>0</v>
      </c>
    </row>
    <row r="16" spans="1:256">
      <c r="A16">
        <f>IF('Fungi &amp; Lichen'!807:807,"AAAAAH9e3wA=",0)</f>
        <v>0</v>
      </c>
      <c r="B16">
        <f>IF('Fungi &amp; Lichen'!808:808,"AAAAAH9e3wE=",0)</f>
        <v>0</v>
      </c>
      <c r="C16">
        <f>IF('Fungi &amp; Lichen'!809:809,"AAAAAH9e3wI=",0)</f>
        <v>0</v>
      </c>
      <c r="D16">
        <f>IF('Fungi &amp; Lichen'!810:810,"AAAAAH9e3wM=",0)</f>
        <v>0</v>
      </c>
      <c r="E16">
        <f>IF('Fungi &amp; Lichen'!811:811,"AAAAAH9e3wQ=",0)</f>
        <v>0</v>
      </c>
      <c r="F16">
        <f>IF('Fungi &amp; Lichen'!812:812,"AAAAAH9e3wU=",0)</f>
        <v>0</v>
      </c>
      <c r="G16">
        <f>IF('Fungi &amp; Lichen'!813:813,"AAAAAH9e3wY=",0)</f>
        <v>0</v>
      </c>
      <c r="H16">
        <f>IF('Fungi &amp; Lichen'!814:814,"AAAAAH9e3wc=",0)</f>
        <v>0</v>
      </c>
      <c r="I16">
        <f>IF('Fungi &amp; Lichen'!815:815,"AAAAAH9e3wg=",0)</f>
        <v>0</v>
      </c>
      <c r="J16">
        <f>IF('Fungi &amp; Lichen'!816:816,"AAAAAH9e3wk=",0)</f>
        <v>0</v>
      </c>
      <c r="K16">
        <f>IF('Fungi &amp; Lichen'!817:817,"AAAAAH9e3wo=",0)</f>
        <v>0</v>
      </c>
      <c r="L16">
        <f>IF('Fungi &amp; Lichen'!818:818,"AAAAAH9e3ws=",0)</f>
        <v>0</v>
      </c>
      <c r="M16">
        <f>IF('Fungi &amp; Lichen'!819:819,"AAAAAH9e3ww=",0)</f>
        <v>0</v>
      </c>
      <c r="N16">
        <f>IF('Fungi &amp; Lichen'!820:820,"AAAAAH9e3w0=",0)</f>
        <v>0</v>
      </c>
      <c r="O16">
        <f>IF('Fungi &amp; Lichen'!821:821,"AAAAAH9e3w4=",0)</f>
        <v>0</v>
      </c>
      <c r="P16">
        <f>IF('Fungi &amp; Lichen'!822:822,"AAAAAH9e3w8=",0)</f>
        <v>0</v>
      </c>
      <c r="Q16">
        <f>IF('Fungi &amp; Lichen'!823:823,"AAAAAH9e3xA=",0)</f>
        <v>0</v>
      </c>
      <c r="R16">
        <f>IF('Fungi &amp; Lichen'!824:824,"AAAAAH9e3xE=",0)</f>
        <v>0</v>
      </c>
      <c r="S16">
        <f>IF('Fungi &amp; Lichen'!825:825,"AAAAAH9e3xI=",0)</f>
        <v>0</v>
      </c>
      <c r="T16">
        <f>IF('Fungi &amp; Lichen'!826:826,"AAAAAH9e3xM=",0)</f>
        <v>0</v>
      </c>
      <c r="U16">
        <f>IF('Fungi &amp; Lichen'!827:827,"AAAAAH9e3xQ=",0)</f>
        <v>0</v>
      </c>
      <c r="V16">
        <f>IF('Fungi &amp; Lichen'!828:828,"AAAAAH9e3xU=",0)</f>
        <v>0</v>
      </c>
      <c r="W16">
        <f>IF('Fungi &amp; Lichen'!829:829,"AAAAAH9e3xY=",0)</f>
        <v>0</v>
      </c>
      <c r="X16">
        <f>IF('Fungi &amp; Lichen'!830:830,"AAAAAH9e3xc=",0)</f>
        <v>0</v>
      </c>
      <c r="Y16">
        <f>IF('Fungi &amp; Lichen'!831:831,"AAAAAH9e3xg=",0)</f>
        <v>0</v>
      </c>
      <c r="Z16">
        <f>IF('Fungi &amp; Lichen'!832:832,"AAAAAH9e3xk=",0)</f>
        <v>0</v>
      </c>
      <c r="AA16">
        <f>IF('Fungi &amp; Lichen'!833:833,"AAAAAH9e3xo=",0)</f>
        <v>0</v>
      </c>
      <c r="AB16">
        <f>IF('Fungi &amp; Lichen'!834:834,"AAAAAH9e3xs=",0)</f>
        <v>0</v>
      </c>
      <c r="AC16">
        <f>IF('Fungi &amp; Lichen'!835:835,"AAAAAH9e3xw=",0)</f>
        <v>0</v>
      </c>
      <c r="AD16">
        <f>IF('Fungi &amp; Lichen'!836:836,"AAAAAH9e3x0=",0)</f>
        <v>0</v>
      </c>
      <c r="AE16">
        <f>IF('Fungi &amp; Lichen'!837:837,"AAAAAH9e3x4=",0)</f>
        <v>0</v>
      </c>
      <c r="AF16">
        <f>IF('Fungi &amp; Lichen'!838:838,"AAAAAH9e3x8=",0)</f>
        <v>0</v>
      </c>
      <c r="AG16">
        <f>IF('Fungi &amp; Lichen'!839:839,"AAAAAH9e3yA=",0)</f>
        <v>0</v>
      </c>
      <c r="AH16">
        <f>IF('Fungi &amp; Lichen'!840:840,"AAAAAH9e3yE=",0)</f>
        <v>0</v>
      </c>
      <c r="AI16">
        <f>IF('Fungi &amp; Lichen'!841:841,"AAAAAH9e3yI=",0)</f>
        <v>0</v>
      </c>
      <c r="AJ16">
        <f>IF('Fungi &amp; Lichen'!842:842,"AAAAAH9e3yM=",0)</f>
        <v>0</v>
      </c>
      <c r="AK16">
        <f>IF('Fungi &amp; Lichen'!843:843,"AAAAAH9e3yQ=",0)</f>
        <v>0</v>
      </c>
      <c r="AL16">
        <f>IF('Fungi &amp; Lichen'!844:844,"AAAAAH9e3yU=",0)</f>
        <v>0</v>
      </c>
      <c r="AM16">
        <f>IF('Fungi &amp; Lichen'!845:845,"AAAAAH9e3yY=",0)</f>
        <v>0</v>
      </c>
      <c r="AN16">
        <f>IF('Fungi &amp; Lichen'!846:846,"AAAAAH9e3yc=",0)</f>
        <v>0</v>
      </c>
      <c r="AO16">
        <f>IF('Fungi &amp; Lichen'!847:847,"AAAAAH9e3yg=",0)</f>
        <v>0</v>
      </c>
      <c r="AP16">
        <f>IF('Fungi &amp; Lichen'!848:848,"AAAAAH9e3yk=",0)</f>
        <v>0</v>
      </c>
      <c r="AQ16">
        <f>IF('Fungi &amp; Lichen'!849:849,"AAAAAH9e3yo=",0)</f>
        <v>0</v>
      </c>
      <c r="AR16">
        <f>IF('Fungi &amp; Lichen'!850:850,"AAAAAH9e3ys=",0)</f>
        <v>0</v>
      </c>
      <c r="AS16">
        <f>IF('Fungi &amp; Lichen'!851:851,"AAAAAH9e3yw=",0)</f>
        <v>0</v>
      </c>
      <c r="AT16">
        <f>IF('Fungi &amp; Lichen'!852:852,"AAAAAH9e3y0=",0)</f>
        <v>0</v>
      </c>
      <c r="AU16">
        <f>IF('Fungi &amp; Lichen'!853:853,"AAAAAH9e3y4=",0)</f>
        <v>0</v>
      </c>
      <c r="AV16">
        <f>IF('Fungi &amp; Lichen'!854:854,"AAAAAH9e3y8=",0)</f>
        <v>0</v>
      </c>
      <c r="AW16">
        <f>IF('Fungi &amp; Lichen'!855:855,"AAAAAH9e3zA=",0)</f>
        <v>0</v>
      </c>
      <c r="AX16">
        <f>IF('Fungi &amp; Lichen'!856:856,"AAAAAH9e3zE=",0)</f>
        <v>0</v>
      </c>
      <c r="AY16">
        <f>IF('Fungi &amp; Lichen'!857:857,"AAAAAH9e3zI=",0)</f>
        <v>0</v>
      </c>
      <c r="AZ16">
        <f>IF('Fungi &amp; Lichen'!858:858,"AAAAAH9e3zM=",0)</f>
        <v>0</v>
      </c>
      <c r="BA16">
        <f>IF('Fungi &amp; Lichen'!859:859,"AAAAAH9e3zQ=",0)</f>
        <v>0</v>
      </c>
      <c r="BB16">
        <f>IF('Fungi &amp; Lichen'!860:860,"AAAAAH9e3zU=",0)</f>
        <v>0</v>
      </c>
      <c r="BC16">
        <f>IF('Fungi &amp; Lichen'!861:861,"AAAAAH9e3zY=",0)</f>
        <v>0</v>
      </c>
      <c r="BD16">
        <f>IF('Fungi &amp; Lichen'!862:862,"AAAAAH9e3zc=",0)</f>
        <v>0</v>
      </c>
      <c r="BE16">
        <f>IF('Fungi &amp; Lichen'!863:863,"AAAAAH9e3zg=",0)</f>
        <v>0</v>
      </c>
      <c r="BF16">
        <f>IF('Fungi &amp; Lichen'!864:864,"AAAAAH9e3zk=",0)</f>
        <v>0</v>
      </c>
      <c r="BG16">
        <f>IF('Fungi &amp; Lichen'!865:865,"AAAAAH9e3zo=",0)</f>
        <v>0</v>
      </c>
      <c r="BH16">
        <f>IF('Fungi &amp; Lichen'!866:866,"AAAAAH9e3zs=",0)</f>
        <v>0</v>
      </c>
      <c r="BI16" t="str">
        <f>IF('Fungi &amp; Lichen'!A:A,"AAAAAH9e3zw=",0)</f>
        <v>AAAAAH9e3zw=</v>
      </c>
      <c r="BJ16">
        <f>IF('Fungi &amp; Lichen'!B:B,"AAAAAH9e3z0=",0)</f>
        <v>0</v>
      </c>
      <c r="BK16" t="e">
        <f>IF('Fungi &amp; Lichen'!C:C,"AAAAAH9e3z4=",0)</f>
        <v>#VALUE!</v>
      </c>
      <c r="BL16" t="e">
        <f>IF('Fungi &amp; Lichen'!D:D,"AAAAAH9e3z8=",0)</f>
        <v>#VALUE!</v>
      </c>
      <c r="BM16" t="e">
        <f>IF('Fungi &amp; Lichen'!E:E,"AAAAAH9e30A=",0)</f>
        <v>#VALUE!</v>
      </c>
      <c r="BN16" t="e">
        <f>IF('Fungi &amp; Lichen'!F:F,"AAAAAH9e30E=",0)</f>
        <v>#VALUE!</v>
      </c>
      <c r="BO16" t="e">
        <f>IF('Fungi &amp; Lichen'!G:G,"AAAAAH9e30I=",0)</f>
        <v>#VALUE!</v>
      </c>
      <c r="BP16" t="e">
        <f>IF('Fungi &amp; Lichen'!H:H,"AAAAAH9e30M=",0)</f>
        <v>#VALUE!</v>
      </c>
      <c r="BQ16" t="e">
        <f>IF('Fungi &amp; Lichen'!I:I,"AAAAAH9e30Q=",0)</f>
        <v>#VALUE!</v>
      </c>
      <c r="BR16">
        <f>IF('Fungi &amp; Lichen'!J:J,"AAAAAH9e30U=",0)</f>
        <v>0</v>
      </c>
      <c r="BS16">
        <f>IF('Fungi &amp; Lichen'!K:K,"AAAAAH9e30Y=",0)</f>
        <v>0</v>
      </c>
      <c r="BT16">
        <f>IF('Fungi &amp; Lichen'!L:L,"AAAAAH9e30c=",0)</f>
        <v>0</v>
      </c>
      <c r="BU16">
        <f>IF('Fungi &amp; Lichen'!M:M,"AAAAAH9e30g=",0)</f>
        <v>0</v>
      </c>
      <c r="BV16">
        <f>IF('Fungi &amp; Lichen'!N:N,"AAAAAH9e30k=",0)</f>
        <v>0</v>
      </c>
      <c r="BW16">
        <f>IF('Fungi &amp; Lichen'!O:O,"AAAAAH9e30o=",0)</f>
        <v>0</v>
      </c>
      <c r="BX16">
        <f>IF('Fungi &amp; Lichen'!P:P,"AAAAAH9e30s=",0)</f>
        <v>0</v>
      </c>
      <c r="BY16">
        <f>IF('Fungi &amp; Lichen'!Q:Q,"AAAAAH9e30w=",0)</f>
        <v>0</v>
      </c>
      <c r="BZ16">
        <f>IF('Fungi &amp; Lichen'!R:R,"AAAAAH9e300=",0)</f>
        <v>0</v>
      </c>
      <c r="CA16">
        <f>IF('Fungi &amp; Lichen'!S:S,"AAAAAH9e304=",0)</f>
        <v>0</v>
      </c>
      <c r="CB16">
        <f>IF('Fungi &amp; Lichen'!T:T,"AAAAAH9e308=",0)</f>
        <v>0</v>
      </c>
      <c r="CC16">
        <f>IF('Fungi &amp; Lichen'!U:U,"AAAAAH9e31A=",0)</f>
        <v>0</v>
      </c>
      <c r="CD16">
        <f>IF('Fungi &amp; Lichen'!V:V,"AAAAAH9e31E=",0)</f>
        <v>0</v>
      </c>
      <c r="CE16">
        <f>IF(Plants!1:1,"AAAAAH9e31I=",0)</f>
        <v>0</v>
      </c>
      <c r="CF16" t="e">
        <f>AND(Plants!A1,"AAAAAH9e31M=")</f>
        <v>#VALUE!</v>
      </c>
      <c r="CG16" t="e">
        <f>AND(Plants!B1,"AAAAAH9e31Q=")</f>
        <v>#VALUE!</v>
      </c>
      <c r="CH16" t="e">
        <f>AND(Plants!C1,"AAAAAH9e31U=")</f>
        <v>#VALUE!</v>
      </c>
      <c r="CI16" t="e">
        <f>AND(Plants!D1,"AAAAAH9e31Y=")</f>
        <v>#VALUE!</v>
      </c>
      <c r="CJ16" t="e">
        <f>AND(Plants!E1,"AAAAAH9e31c=")</f>
        <v>#VALUE!</v>
      </c>
      <c r="CK16" t="e">
        <f>AND(Plants!F1,"AAAAAH9e31g=")</f>
        <v>#VALUE!</v>
      </c>
      <c r="CL16" t="e">
        <f>AND(Plants!G1,"AAAAAH9e31k=")</f>
        <v>#VALUE!</v>
      </c>
      <c r="CM16" t="e">
        <f>AND(Plants!H1,"AAAAAH9e31o=")</f>
        <v>#VALUE!</v>
      </c>
      <c r="CN16" t="e">
        <f>AND(Plants!I1,"AAAAAH9e31s=")</f>
        <v>#VALUE!</v>
      </c>
      <c r="CO16" t="e">
        <f>AND(Plants!J1,"AAAAAH9e31w=")</f>
        <v>#VALUE!</v>
      </c>
      <c r="CP16" t="e">
        <f>AND(Plants!K1,"AAAAAH9e310=")</f>
        <v>#VALUE!</v>
      </c>
      <c r="CQ16" t="e">
        <f>AND(Plants!L1,"AAAAAH9e314=")</f>
        <v>#VALUE!</v>
      </c>
      <c r="CR16" t="e">
        <f>AND(Plants!M1,"AAAAAH9e318=")</f>
        <v>#VALUE!</v>
      </c>
      <c r="CS16" t="e">
        <f>AND(Plants!N1,"AAAAAH9e32A=")</f>
        <v>#VALUE!</v>
      </c>
      <c r="CT16" t="e">
        <f>AND(Plants!O1,"AAAAAH9e32E=")</f>
        <v>#VALUE!</v>
      </c>
      <c r="CU16" t="e">
        <f>AND(Plants!P1,"AAAAAH9e32I=")</f>
        <v>#VALUE!</v>
      </c>
      <c r="CV16" t="e">
        <f>AND(Plants!Q1,"AAAAAH9e32M=")</f>
        <v>#VALUE!</v>
      </c>
      <c r="CW16">
        <f>IF(Plants!2:2,"AAAAAH9e32Q=",0)</f>
        <v>0</v>
      </c>
      <c r="CX16" t="e">
        <f>AND(Plants!A2,"AAAAAH9e32U=")</f>
        <v>#VALUE!</v>
      </c>
      <c r="CY16" t="e">
        <f>AND(Plants!B2,"AAAAAH9e32Y=")</f>
        <v>#VALUE!</v>
      </c>
      <c r="CZ16" t="e">
        <f>AND(Plants!C2,"AAAAAH9e32c=")</f>
        <v>#VALUE!</v>
      </c>
      <c r="DA16" t="e">
        <f>AND(Plants!D2,"AAAAAH9e32g=")</f>
        <v>#VALUE!</v>
      </c>
      <c r="DB16" t="e">
        <f>AND(Plants!E2,"AAAAAH9e32k=")</f>
        <v>#VALUE!</v>
      </c>
      <c r="DC16" t="e">
        <f>AND(Plants!F2,"AAAAAH9e32o=")</f>
        <v>#VALUE!</v>
      </c>
      <c r="DD16" t="e">
        <f>AND(Plants!G2,"AAAAAH9e32s=")</f>
        <v>#VALUE!</v>
      </c>
      <c r="DE16" t="e">
        <f>AND(Plants!H2,"AAAAAH9e32w=")</f>
        <v>#VALUE!</v>
      </c>
      <c r="DF16" t="e">
        <f>AND(Plants!I2,"AAAAAH9e320=")</f>
        <v>#VALUE!</v>
      </c>
      <c r="DG16" t="e">
        <f>AND(Plants!J2,"AAAAAH9e324=")</f>
        <v>#VALUE!</v>
      </c>
      <c r="DH16" t="e">
        <f>AND(Plants!K2,"AAAAAH9e328=")</f>
        <v>#VALUE!</v>
      </c>
      <c r="DI16" t="e">
        <f>AND(Plants!L2,"AAAAAH9e33A=")</f>
        <v>#VALUE!</v>
      </c>
      <c r="DJ16" t="e">
        <f>AND(Plants!M2,"AAAAAH9e33E=")</f>
        <v>#VALUE!</v>
      </c>
      <c r="DK16" t="e">
        <f>AND(Plants!N2,"AAAAAH9e33I=")</f>
        <v>#VALUE!</v>
      </c>
      <c r="DL16" t="e">
        <f>AND(Plants!O2,"AAAAAH9e33M=")</f>
        <v>#VALUE!</v>
      </c>
      <c r="DM16" t="e">
        <f>AND(Plants!P2,"AAAAAH9e33Q=")</f>
        <v>#VALUE!</v>
      </c>
      <c r="DN16" t="e">
        <f>AND(Plants!Q2,"AAAAAH9e33U=")</f>
        <v>#VALUE!</v>
      </c>
      <c r="DO16">
        <f>IF(Plants!3:3,"AAAAAH9e33Y=",0)</f>
        <v>0</v>
      </c>
      <c r="DP16" t="e">
        <f>AND(Plants!A3,"AAAAAH9e33c=")</f>
        <v>#VALUE!</v>
      </c>
      <c r="DQ16" t="e">
        <f>AND(Plants!B3,"AAAAAH9e33g=")</f>
        <v>#VALUE!</v>
      </c>
      <c r="DR16" t="e">
        <f>AND(Plants!C3,"AAAAAH9e33k=")</f>
        <v>#VALUE!</v>
      </c>
      <c r="DS16" t="e">
        <f>AND(Plants!D3,"AAAAAH9e33o=")</f>
        <v>#VALUE!</v>
      </c>
      <c r="DT16" t="e">
        <f>AND(Plants!E3,"AAAAAH9e33s=")</f>
        <v>#VALUE!</v>
      </c>
      <c r="DU16" t="e">
        <f>AND(Plants!F3,"AAAAAH9e33w=")</f>
        <v>#VALUE!</v>
      </c>
      <c r="DV16" t="e">
        <f>AND(Plants!G3,"AAAAAH9e330=")</f>
        <v>#VALUE!</v>
      </c>
      <c r="DW16" t="e">
        <f>AND(Plants!H3,"AAAAAH9e334=")</f>
        <v>#VALUE!</v>
      </c>
      <c r="DX16" t="e">
        <f>AND(Plants!I3,"AAAAAH9e338=")</f>
        <v>#VALUE!</v>
      </c>
      <c r="DY16" t="e">
        <f>AND(Plants!J3,"AAAAAH9e34A=")</f>
        <v>#VALUE!</v>
      </c>
      <c r="DZ16" t="e">
        <f>AND(Plants!K3,"AAAAAH9e34E=")</f>
        <v>#VALUE!</v>
      </c>
      <c r="EA16" t="e">
        <f>AND(Plants!L3,"AAAAAH9e34I=")</f>
        <v>#VALUE!</v>
      </c>
      <c r="EB16" t="e">
        <f>AND(Plants!M3,"AAAAAH9e34M=")</f>
        <v>#VALUE!</v>
      </c>
      <c r="EC16" t="e">
        <f>AND(Plants!N3,"AAAAAH9e34Q=")</f>
        <v>#VALUE!</v>
      </c>
      <c r="ED16" t="e">
        <f>AND(Plants!O3,"AAAAAH9e34U=")</f>
        <v>#VALUE!</v>
      </c>
      <c r="EE16" t="e">
        <f>AND(Plants!P3,"AAAAAH9e34Y=")</f>
        <v>#VALUE!</v>
      </c>
      <c r="EF16" t="e">
        <f>AND(Plants!Q3,"AAAAAH9e34c=")</f>
        <v>#VALUE!</v>
      </c>
      <c r="EG16">
        <f>IF(Plants!4:4,"AAAAAH9e34g=",0)</f>
        <v>0</v>
      </c>
      <c r="EH16" t="e">
        <f>AND(Plants!A4,"AAAAAH9e34k=")</f>
        <v>#VALUE!</v>
      </c>
      <c r="EI16" t="e">
        <f>AND(Plants!B4,"AAAAAH9e34o=")</f>
        <v>#VALUE!</v>
      </c>
      <c r="EJ16" t="e">
        <f>AND(Plants!C4,"AAAAAH9e34s=")</f>
        <v>#VALUE!</v>
      </c>
      <c r="EK16" t="e">
        <f>AND(Plants!D4,"AAAAAH9e34w=")</f>
        <v>#VALUE!</v>
      </c>
      <c r="EL16" t="e">
        <f>AND(Plants!E4,"AAAAAH9e340=")</f>
        <v>#VALUE!</v>
      </c>
      <c r="EM16" t="e">
        <f>AND(Plants!F4,"AAAAAH9e344=")</f>
        <v>#VALUE!</v>
      </c>
      <c r="EN16" t="e">
        <f>AND(Plants!G4,"AAAAAH9e348=")</f>
        <v>#VALUE!</v>
      </c>
      <c r="EO16" t="e">
        <f>AND(Plants!H4,"AAAAAH9e35A=")</f>
        <v>#VALUE!</v>
      </c>
      <c r="EP16" t="e">
        <f>AND(Plants!I4,"AAAAAH9e35E=")</f>
        <v>#VALUE!</v>
      </c>
      <c r="EQ16" t="e">
        <f>AND(Plants!J4,"AAAAAH9e35I=")</f>
        <v>#VALUE!</v>
      </c>
      <c r="ER16" t="e">
        <f>AND(Plants!K4,"AAAAAH9e35M=")</f>
        <v>#VALUE!</v>
      </c>
      <c r="ES16" t="e">
        <f>AND(Plants!L4,"AAAAAH9e35Q=")</f>
        <v>#VALUE!</v>
      </c>
      <c r="ET16" t="e">
        <f>AND(Plants!M4,"AAAAAH9e35U=")</f>
        <v>#VALUE!</v>
      </c>
      <c r="EU16" t="e">
        <f>AND(Plants!N4,"AAAAAH9e35Y=")</f>
        <v>#VALUE!</v>
      </c>
      <c r="EV16" t="e">
        <f>AND(Plants!O4,"AAAAAH9e35c=")</f>
        <v>#VALUE!</v>
      </c>
      <c r="EW16" t="e">
        <f>AND(Plants!P4,"AAAAAH9e35g=")</f>
        <v>#VALUE!</v>
      </c>
      <c r="EX16" t="e">
        <f>AND(Plants!Q4,"AAAAAH9e35k=")</f>
        <v>#VALUE!</v>
      </c>
      <c r="EY16">
        <f>IF(Plants!5:5,"AAAAAH9e35o=",0)</f>
        <v>0</v>
      </c>
      <c r="EZ16" t="e">
        <f>AND(Plants!A5,"AAAAAH9e35s=")</f>
        <v>#VALUE!</v>
      </c>
      <c r="FA16" t="e">
        <f>AND(Plants!B5,"AAAAAH9e35w=")</f>
        <v>#VALUE!</v>
      </c>
      <c r="FB16" t="e">
        <f>AND(Plants!C5,"AAAAAH9e350=")</f>
        <v>#VALUE!</v>
      </c>
      <c r="FC16" t="e">
        <f>AND(Plants!D5,"AAAAAH9e354=")</f>
        <v>#VALUE!</v>
      </c>
      <c r="FD16" t="e">
        <f>AND(Plants!E5,"AAAAAH9e358=")</f>
        <v>#VALUE!</v>
      </c>
      <c r="FE16" t="e">
        <f>AND(Plants!F5,"AAAAAH9e36A=")</f>
        <v>#VALUE!</v>
      </c>
      <c r="FF16" t="e">
        <f>AND(Plants!G5,"AAAAAH9e36E=")</f>
        <v>#VALUE!</v>
      </c>
      <c r="FG16" t="e">
        <f>AND(Plants!H5,"AAAAAH9e36I=")</f>
        <v>#VALUE!</v>
      </c>
      <c r="FH16" t="e">
        <f>AND(Plants!I5,"AAAAAH9e36M=")</f>
        <v>#VALUE!</v>
      </c>
      <c r="FI16" t="e">
        <f>AND(Plants!J5,"AAAAAH9e36Q=")</f>
        <v>#VALUE!</v>
      </c>
      <c r="FJ16" t="e">
        <f>AND(Plants!K5,"AAAAAH9e36U=")</f>
        <v>#VALUE!</v>
      </c>
      <c r="FK16" t="e">
        <f>AND(Plants!L5,"AAAAAH9e36Y=")</f>
        <v>#VALUE!</v>
      </c>
      <c r="FL16" t="e">
        <f>AND(Plants!M5,"AAAAAH9e36c=")</f>
        <v>#VALUE!</v>
      </c>
      <c r="FM16" t="e">
        <f>AND(Plants!N5,"AAAAAH9e36g=")</f>
        <v>#VALUE!</v>
      </c>
      <c r="FN16" t="e">
        <f>AND(Plants!O5,"AAAAAH9e36k=")</f>
        <v>#VALUE!</v>
      </c>
      <c r="FO16" t="e">
        <f>AND(Plants!P5,"AAAAAH9e36o=")</f>
        <v>#VALUE!</v>
      </c>
      <c r="FP16" t="e">
        <f>AND(Plants!Q5,"AAAAAH9e36s=")</f>
        <v>#VALUE!</v>
      </c>
      <c r="FQ16">
        <f>IF(Plants!6:6,"AAAAAH9e36w=",0)</f>
        <v>0</v>
      </c>
      <c r="FR16" t="e">
        <f>AND(Plants!A6,"AAAAAH9e360=")</f>
        <v>#VALUE!</v>
      </c>
      <c r="FS16" t="e">
        <f>AND(Plants!B6,"AAAAAH9e364=")</f>
        <v>#VALUE!</v>
      </c>
      <c r="FT16" t="e">
        <f>AND(Plants!C6,"AAAAAH9e368=")</f>
        <v>#VALUE!</v>
      </c>
      <c r="FU16" t="e">
        <f>AND(Plants!D6,"AAAAAH9e37A=")</f>
        <v>#VALUE!</v>
      </c>
      <c r="FV16" t="e">
        <f>AND(Plants!E6,"AAAAAH9e37E=")</f>
        <v>#VALUE!</v>
      </c>
      <c r="FW16" t="e">
        <f>AND(Plants!F6,"AAAAAH9e37I=")</f>
        <v>#VALUE!</v>
      </c>
      <c r="FX16" t="e">
        <f>AND(Plants!G6,"AAAAAH9e37M=")</f>
        <v>#VALUE!</v>
      </c>
      <c r="FY16" t="e">
        <f>AND(Plants!H6,"AAAAAH9e37Q=")</f>
        <v>#VALUE!</v>
      </c>
      <c r="FZ16" t="e">
        <f>AND(Plants!I6,"AAAAAH9e37U=")</f>
        <v>#VALUE!</v>
      </c>
      <c r="GA16" t="e">
        <f>AND(Plants!J6,"AAAAAH9e37Y=")</f>
        <v>#VALUE!</v>
      </c>
      <c r="GB16" t="e">
        <f>AND(Plants!K6,"AAAAAH9e37c=")</f>
        <v>#VALUE!</v>
      </c>
      <c r="GC16" t="e">
        <f>AND(Plants!L6,"AAAAAH9e37g=")</f>
        <v>#VALUE!</v>
      </c>
      <c r="GD16" t="e">
        <f>AND(Plants!M6,"AAAAAH9e37k=")</f>
        <v>#VALUE!</v>
      </c>
      <c r="GE16" t="e">
        <f>AND(Plants!N6,"AAAAAH9e37o=")</f>
        <v>#VALUE!</v>
      </c>
      <c r="GF16" t="e">
        <f>AND(Plants!O6,"AAAAAH9e37s=")</f>
        <v>#VALUE!</v>
      </c>
      <c r="GG16" t="e">
        <f>AND(Plants!P6,"AAAAAH9e37w=")</f>
        <v>#VALUE!</v>
      </c>
      <c r="GH16" t="e">
        <f>AND(Plants!Q6,"AAAAAH9e370=")</f>
        <v>#VALUE!</v>
      </c>
      <c r="GI16">
        <f>IF(Plants!7:7,"AAAAAH9e374=",0)</f>
        <v>0</v>
      </c>
      <c r="GJ16" t="e">
        <f>AND(Plants!A7,"AAAAAH9e378=")</f>
        <v>#VALUE!</v>
      </c>
      <c r="GK16" t="e">
        <f>AND(Plants!B7,"AAAAAH9e38A=")</f>
        <v>#VALUE!</v>
      </c>
      <c r="GL16" t="e">
        <f>AND(Plants!C7,"AAAAAH9e38E=")</f>
        <v>#VALUE!</v>
      </c>
      <c r="GM16" t="e">
        <f>AND(Plants!D7,"AAAAAH9e38I=")</f>
        <v>#VALUE!</v>
      </c>
      <c r="GN16" t="e">
        <f>AND(Plants!E7,"AAAAAH9e38M=")</f>
        <v>#VALUE!</v>
      </c>
      <c r="GO16" t="e">
        <f>AND(Plants!F7,"AAAAAH9e38Q=")</f>
        <v>#VALUE!</v>
      </c>
      <c r="GP16" t="e">
        <f>AND(Plants!G7,"AAAAAH9e38U=")</f>
        <v>#VALUE!</v>
      </c>
      <c r="GQ16" t="e">
        <f>AND(Plants!H7,"AAAAAH9e38Y=")</f>
        <v>#VALUE!</v>
      </c>
      <c r="GR16" t="e">
        <f>AND(Plants!I7,"AAAAAH9e38c=")</f>
        <v>#VALUE!</v>
      </c>
      <c r="GS16" t="e">
        <f>AND(Plants!J7,"AAAAAH9e38g=")</f>
        <v>#VALUE!</v>
      </c>
      <c r="GT16" t="e">
        <f>AND(Plants!K7,"AAAAAH9e38k=")</f>
        <v>#VALUE!</v>
      </c>
      <c r="GU16" t="e">
        <f>AND(Plants!L7,"AAAAAH9e38o=")</f>
        <v>#VALUE!</v>
      </c>
      <c r="GV16" t="e">
        <f>AND(Plants!M7,"AAAAAH9e38s=")</f>
        <v>#VALUE!</v>
      </c>
      <c r="GW16" t="e">
        <f>AND(Plants!N7,"AAAAAH9e38w=")</f>
        <v>#VALUE!</v>
      </c>
      <c r="GX16" t="e">
        <f>AND(Plants!O7,"AAAAAH9e380=")</f>
        <v>#VALUE!</v>
      </c>
      <c r="GY16" t="e">
        <f>AND(Plants!P7,"AAAAAH9e384=")</f>
        <v>#VALUE!</v>
      </c>
      <c r="GZ16" t="e">
        <f>AND(Plants!Q7,"AAAAAH9e388=")</f>
        <v>#VALUE!</v>
      </c>
      <c r="HA16">
        <f>IF(Plants!8:8,"AAAAAH9e39A=",0)</f>
        <v>0</v>
      </c>
      <c r="HB16" t="e">
        <f>AND(Plants!A8,"AAAAAH9e39E=")</f>
        <v>#VALUE!</v>
      </c>
      <c r="HC16" t="e">
        <f>AND(Plants!B8,"AAAAAH9e39I=")</f>
        <v>#VALUE!</v>
      </c>
      <c r="HD16" t="e">
        <f>AND(Plants!C8,"AAAAAH9e39M=")</f>
        <v>#VALUE!</v>
      </c>
      <c r="HE16" t="e">
        <f>AND(Plants!D8,"AAAAAH9e39Q=")</f>
        <v>#VALUE!</v>
      </c>
      <c r="HF16" t="e">
        <f>AND(Plants!E8,"AAAAAH9e39U=")</f>
        <v>#VALUE!</v>
      </c>
      <c r="HG16" t="e">
        <f>AND(Plants!F8,"AAAAAH9e39Y=")</f>
        <v>#VALUE!</v>
      </c>
      <c r="HH16" t="e">
        <f>AND(Plants!G8,"AAAAAH9e39c=")</f>
        <v>#VALUE!</v>
      </c>
      <c r="HI16" t="e">
        <f>AND(Plants!H8,"AAAAAH9e39g=")</f>
        <v>#VALUE!</v>
      </c>
      <c r="HJ16" t="e">
        <f>AND(Plants!I8,"AAAAAH9e39k=")</f>
        <v>#VALUE!</v>
      </c>
      <c r="HK16" t="e">
        <f>AND(Plants!J8,"AAAAAH9e39o=")</f>
        <v>#VALUE!</v>
      </c>
      <c r="HL16" t="e">
        <f>AND(Plants!K8,"AAAAAH9e39s=")</f>
        <v>#VALUE!</v>
      </c>
      <c r="HM16" t="e">
        <f>AND(Plants!L8,"AAAAAH9e39w=")</f>
        <v>#VALUE!</v>
      </c>
      <c r="HN16" t="e">
        <f>AND(Plants!M8,"AAAAAH9e390=")</f>
        <v>#VALUE!</v>
      </c>
      <c r="HO16" t="e">
        <f>AND(Plants!N8,"AAAAAH9e394=")</f>
        <v>#VALUE!</v>
      </c>
      <c r="HP16" t="e">
        <f>AND(Plants!O8,"AAAAAH9e398=")</f>
        <v>#VALUE!</v>
      </c>
      <c r="HQ16" t="e">
        <f>AND(Plants!P8,"AAAAAH9e3+A=")</f>
        <v>#VALUE!</v>
      </c>
      <c r="HR16" t="e">
        <f>AND(Plants!Q8,"AAAAAH9e3+E=")</f>
        <v>#VALUE!</v>
      </c>
      <c r="HS16">
        <f>IF(Plants!9:9,"AAAAAH9e3+I=",0)</f>
        <v>0</v>
      </c>
      <c r="HT16" t="e">
        <f>AND(Plants!A9,"AAAAAH9e3+M=")</f>
        <v>#VALUE!</v>
      </c>
      <c r="HU16" t="e">
        <f>AND(Plants!B9,"AAAAAH9e3+Q=")</f>
        <v>#VALUE!</v>
      </c>
      <c r="HV16" t="e">
        <f>AND(Plants!C9,"AAAAAH9e3+U=")</f>
        <v>#VALUE!</v>
      </c>
      <c r="HW16" t="e">
        <f>AND(Plants!D9,"AAAAAH9e3+Y=")</f>
        <v>#VALUE!</v>
      </c>
      <c r="HX16" t="e">
        <f>AND(Plants!E9,"AAAAAH9e3+c=")</f>
        <v>#VALUE!</v>
      </c>
      <c r="HY16" t="e">
        <f>AND(Plants!F9,"AAAAAH9e3+g=")</f>
        <v>#VALUE!</v>
      </c>
      <c r="HZ16" t="e">
        <f>AND(Plants!G9,"AAAAAH9e3+k=")</f>
        <v>#VALUE!</v>
      </c>
      <c r="IA16" t="e">
        <f>AND(Plants!H9,"AAAAAH9e3+o=")</f>
        <v>#VALUE!</v>
      </c>
      <c r="IB16" t="e">
        <f>AND(Plants!I9,"AAAAAH9e3+s=")</f>
        <v>#VALUE!</v>
      </c>
      <c r="IC16" t="e">
        <f>AND(Plants!J9,"AAAAAH9e3+w=")</f>
        <v>#VALUE!</v>
      </c>
      <c r="ID16" t="e">
        <f>AND(Plants!K9,"AAAAAH9e3+0=")</f>
        <v>#VALUE!</v>
      </c>
      <c r="IE16" t="e">
        <f>AND(Plants!L9,"AAAAAH9e3+4=")</f>
        <v>#VALUE!</v>
      </c>
      <c r="IF16" t="e">
        <f>AND(Plants!M9,"AAAAAH9e3+8=")</f>
        <v>#VALUE!</v>
      </c>
      <c r="IG16" t="e">
        <f>AND(Plants!N9,"AAAAAH9e3/A=")</f>
        <v>#VALUE!</v>
      </c>
      <c r="IH16" t="e">
        <f>AND(Plants!O9,"AAAAAH9e3/E=")</f>
        <v>#VALUE!</v>
      </c>
      <c r="II16" t="e">
        <f>AND(Plants!P9,"AAAAAH9e3/I=")</f>
        <v>#VALUE!</v>
      </c>
      <c r="IJ16" t="e">
        <f>AND(Plants!Q9,"AAAAAH9e3/M=")</f>
        <v>#VALUE!</v>
      </c>
      <c r="IK16">
        <f>IF(Plants!10:10,"AAAAAH9e3/Q=",0)</f>
        <v>0</v>
      </c>
      <c r="IL16" t="e">
        <f>AND(Plants!A10,"AAAAAH9e3/U=")</f>
        <v>#VALUE!</v>
      </c>
      <c r="IM16" t="e">
        <f>AND(Plants!B10,"AAAAAH9e3/Y=")</f>
        <v>#VALUE!</v>
      </c>
      <c r="IN16" t="e">
        <f>AND(Plants!C10,"AAAAAH9e3/c=")</f>
        <v>#VALUE!</v>
      </c>
      <c r="IO16" t="e">
        <f>AND(Plants!D10,"AAAAAH9e3/g=")</f>
        <v>#VALUE!</v>
      </c>
      <c r="IP16" t="e">
        <f>AND(Plants!E10,"AAAAAH9e3/k=")</f>
        <v>#VALUE!</v>
      </c>
      <c r="IQ16" t="e">
        <f>AND(Plants!F10,"AAAAAH9e3/o=")</f>
        <v>#VALUE!</v>
      </c>
      <c r="IR16" t="e">
        <f>AND(Plants!G10,"AAAAAH9e3/s=")</f>
        <v>#VALUE!</v>
      </c>
      <c r="IS16" t="e">
        <f>AND(Plants!H10,"AAAAAH9e3/w=")</f>
        <v>#VALUE!</v>
      </c>
      <c r="IT16" t="e">
        <f>AND(Plants!I10,"AAAAAH9e3/0=")</f>
        <v>#VALUE!</v>
      </c>
      <c r="IU16" t="e">
        <f>AND(Plants!J10,"AAAAAH9e3/4=")</f>
        <v>#VALUE!</v>
      </c>
      <c r="IV16" t="e">
        <f>AND(Plants!K10,"AAAAAH9e3/8=")</f>
        <v>#VALUE!</v>
      </c>
    </row>
    <row r="17" spans="1:256">
      <c r="A17" t="e">
        <f>AND(Plants!L10,"AAAAADy37gA=")</f>
        <v>#VALUE!</v>
      </c>
      <c r="B17" t="e">
        <f>AND(Plants!M10,"AAAAADy37gE=")</f>
        <v>#VALUE!</v>
      </c>
      <c r="C17" t="e">
        <f>AND(Plants!N10,"AAAAADy37gI=")</f>
        <v>#VALUE!</v>
      </c>
      <c r="D17" t="e">
        <f>AND(Plants!O10,"AAAAADy37gM=")</f>
        <v>#VALUE!</v>
      </c>
      <c r="E17" t="e">
        <f>AND(Plants!P10,"AAAAADy37gQ=")</f>
        <v>#VALUE!</v>
      </c>
      <c r="F17" t="e">
        <f>AND(Plants!Q10,"AAAAADy37gU=")</f>
        <v>#VALUE!</v>
      </c>
      <c r="G17" t="e">
        <f>IF(Plants!11:11,"AAAAADy37gY=",0)</f>
        <v>#VALUE!</v>
      </c>
      <c r="H17" t="e">
        <f>AND(Plants!A11,"AAAAADy37gc=")</f>
        <v>#VALUE!</v>
      </c>
      <c r="I17" t="e">
        <f>AND(Plants!B11,"AAAAADy37gg=")</f>
        <v>#VALUE!</v>
      </c>
      <c r="J17" t="e">
        <f>AND(Plants!C11,"AAAAADy37gk=")</f>
        <v>#VALUE!</v>
      </c>
      <c r="K17" t="e">
        <f>AND(Plants!D11,"AAAAADy37go=")</f>
        <v>#VALUE!</v>
      </c>
      <c r="L17" t="e">
        <f>AND(Plants!E11,"AAAAADy37gs=")</f>
        <v>#VALUE!</v>
      </c>
      <c r="M17" t="e">
        <f>AND(Plants!F11,"AAAAADy37gw=")</f>
        <v>#VALUE!</v>
      </c>
      <c r="N17" t="e">
        <f>AND(Plants!G11,"AAAAADy37g0=")</f>
        <v>#VALUE!</v>
      </c>
      <c r="O17" t="e">
        <f>AND(Plants!H11,"AAAAADy37g4=")</f>
        <v>#VALUE!</v>
      </c>
      <c r="P17" t="e">
        <f>AND(Plants!I11,"AAAAADy37g8=")</f>
        <v>#VALUE!</v>
      </c>
      <c r="Q17" t="e">
        <f>AND(Plants!J11,"AAAAADy37hA=")</f>
        <v>#VALUE!</v>
      </c>
      <c r="R17" t="e">
        <f>AND(Plants!K11,"AAAAADy37hE=")</f>
        <v>#VALUE!</v>
      </c>
      <c r="S17" t="e">
        <f>AND(Plants!L11,"AAAAADy37hI=")</f>
        <v>#VALUE!</v>
      </c>
      <c r="T17" t="e">
        <f>AND(Plants!M11,"AAAAADy37hM=")</f>
        <v>#VALUE!</v>
      </c>
      <c r="U17" t="e">
        <f>AND(Plants!N11,"AAAAADy37hQ=")</f>
        <v>#VALUE!</v>
      </c>
      <c r="V17" t="e">
        <f>AND(Plants!O11,"AAAAADy37hU=")</f>
        <v>#VALUE!</v>
      </c>
      <c r="W17" t="e">
        <f>AND(Plants!P11,"AAAAADy37hY=")</f>
        <v>#VALUE!</v>
      </c>
      <c r="X17" t="e">
        <f>AND(Plants!Q11,"AAAAADy37hc=")</f>
        <v>#VALUE!</v>
      </c>
      <c r="Y17">
        <f>IF(Plants!12:12,"AAAAADy37hg=",0)</f>
        <v>0</v>
      </c>
      <c r="Z17" t="e">
        <f>AND(Plants!A12,"AAAAADy37hk=")</f>
        <v>#VALUE!</v>
      </c>
      <c r="AA17" t="e">
        <f>AND(Plants!B12,"AAAAADy37ho=")</f>
        <v>#VALUE!</v>
      </c>
      <c r="AB17" t="e">
        <f>AND(Plants!C12,"AAAAADy37hs=")</f>
        <v>#VALUE!</v>
      </c>
      <c r="AC17" t="e">
        <f>AND(Plants!D12,"AAAAADy37hw=")</f>
        <v>#VALUE!</v>
      </c>
      <c r="AD17" t="e">
        <f>AND(Plants!E12,"AAAAADy37h0=")</f>
        <v>#VALUE!</v>
      </c>
      <c r="AE17" t="e">
        <f>AND(Plants!F12,"AAAAADy37h4=")</f>
        <v>#VALUE!</v>
      </c>
      <c r="AF17" t="e">
        <f>AND(Plants!G12,"AAAAADy37h8=")</f>
        <v>#VALUE!</v>
      </c>
      <c r="AG17" t="e">
        <f>AND(Plants!H12,"AAAAADy37iA=")</f>
        <v>#VALUE!</v>
      </c>
      <c r="AH17" t="e">
        <f>AND(Plants!I12,"AAAAADy37iE=")</f>
        <v>#VALUE!</v>
      </c>
      <c r="AI17" t="e">
        <f>AND(Plants!J12,"AAAAADy37iI=")</f>
        <v>#VALUE!</v>
      </c>
      <c r="AJ17" t="e">
        <f>AND(Plants!K12,"AAAAADy37iM=")</f>
        <v>#VALUE!</v>
      </c>
      <c r="AK17" t="e">
        <f>AND(Plants!L12,"AAAAADy37iQ=")</f>
        <v>#VALUE!</v>
      </c>
      <c r="AL17" t="e">
        <f>AND(Plants!M12,"AAAAADy37iU=")</f>
        <v>#VALUE!</v>
      </c>
      <c r="AM17" t="e">
        <f>AND(Plants!N12,"AAAAADy37iY=")</f>
        <v>#VALUE!</v>
      </c>
      <c r="AN17" t="e">
        <f>AND(Plants!O12,"AAAAADy37ic=")</f>
        <v>#VALUE!</v>
      </c>
      <c r="AO17" t="e">
        <f>AND(Plants!P12,"AAAAADy37ig=")</f>
        <v>#VALUE!</v>
      </c>
      <c r="AP17" t="e">
        <f>AND(Plants!Q12,"AAAAADy37ik=")</f>
        <v>#VALUE!</v>
      </c>
      <c r="AQ17">
        <f>IF(Plants!13:13,"AAAAADy37io=",0)</f>
        <v>0</v>
      </c>
      <c r="AR17" t="e">
        <f>AND(Plants!A13,"AAAAADy37is=")</f>
        <v>#VALUE!</v>
      </c>
      <c r="AS17" t="e">
        <f>AND(Plants!B13,"AAAAADy37iw=")</f>
        <v>#VALUE!</v>
      </c>
      <c r="AT17" t="e">
        <f>AND(Plants!C13,"AAAAADy37i0=")</f>
        <v>#VALUE!</v>
      </c>
      <c r="AU17" t="e">
        <f>AND(Plants!D13,"AAAAADy37i4=")</f>
        <v>#VALUE!</v>
      </c>
      <c r="AV17" t="e">
        <f>AND(Plants!E13,"AAAAADy37i8=")</f>
        <v>#VALUE!</v>
      </c>
      <c r="AW17" t="e">
        <f>AND(Plants!F13,"AAAAADy37jA=")</f>
        <v>#VALUE!</v>
      </c>
      <c r="AX17" t="e">
        <f>AND(Plants!G13,"AAAAADy37jE=")</f>
        <v>#VALUE!</v>
      </c>
      <c r="AY17" t="e">
        <f>AND(Plants!H13,"AAAAADy37jI=")</f>
        <v>#VALUE!</v>
      </c>
      <c r="AZ17" t="e">
        <f>AND(Plants!I13,"AAAAADy37jM=")</f>
        <v>#VALUE!</v>
      </c>
      <c r="BA17" t="e">
        <f>AND(Plants!J13,"AAAAADy37jQ=")</f>
        <v>#VALUE!</v>
      </c>
      <c r="BB17" t="e">
        <f>AND(Plants!K13,"AAAAADy37jU=")</f>
        <v>#VALUE!</v>
      </c>
      <c r="BC17" t="e">
        <f>AND(Plants!L13,"AAAAADy37jY=")</f>
        <v>#VALUE!</v>
      </c>
      <c r="BD17" t="e">
        <f>AND(Plants!M13,"AAAAADy37jc=")</f>
        <v>#VALUE!</v>
      </c>
      <c r="BE17" t="e">
        <f>AND(Plants!N13,"AAAAADy37jg=")</f>
        <v>#VALUE!</v>
      </c>
      <c r="BF17" t="e">
        <f>AND(Plants!O13,"AAAAADy37jk=")</f>
        <v>#VALUE!</v>
      </c>
      <c r="BG17" t="e">
        <f>AND(Plants!P13,"AAAAADy37jo=")</f>
        <v>#VALUE!</v>
      </c>
      <c r="BH17" t="e">
        <f>AND(Plants!Q13,"AAAAADy37js=")</f>
        <v>#VALUE!</v>
      </c>
      <c r="BI17">
        <f>IF(Plants!14:14,"AAAAADy37jw=",0)</f>
        <v>0</v>
      </c>
      <c r="BJ17" t="e">
        <f>AND(Plants!A14,"AAAAADy37j0=")</f>
        <v>#VALUE!</v>
      </c>
      <c r="BK17" t="e">
        <f>AND(Plants!B14,"AAAAADy37j4=")</f>
        <v>#VALUE!</v>
      </c>
      <c r="BL17" t="e">
        <f>AND(Plants!C14,"AAAAADy37j8=")</f>
        <v>#VALUE!</v>
      </c>
      <c r="BM17" t="e">
        <f>AND(Plants!D14,"AAAAADy37kA=")</f>
        <v>#VALUE!</v>
      </c>
      <c r="BN17" t="e">
        <f>AND(Plants!E14,"AAAAADy37kE=")</f>
        <v>#VALUE!</v>
      </c>
      <c r="BO17" t="e">
        <f>AND(Plants!F14,"AAAAADy37kI=")</f>
        <v>#VALUE!</v>
      </c>
      <c r="BP17" t="e">
        <f>AND(Plants!G14,"AAAAADy37kM=")</f>
        <v>#VALUE!</v>
      </c>
      <c r="BQ17" t="e">
        <f>AND(Plants!H14,"AAAAADy37kQ=")</f>
        <v>#VALUE!</v>
      </c>
      <c r="BR17" t="e">
        <f>AND(Plants!I14,"AAAAADy37kU=")</f>
        <v>#VALUE!</v>
      </c>
      <c r="BS17" t="e">
        <f>AND(Plants!J14,"AAAAADy37kY=")</f>
        <v>#VALUE!</v>
      </c>
      <c r="BT17" t="e">
        <f>AND(Plants!K14,"AAAAADy37kc=")</f>
        <v>#VALUE!</v>
      </c>
      <c r="BU17" t="e">
        <f>AND(Plants!L14,"AAAAADy37kg=")</f>
        <v>#VALUE!</v>
      </c>
      <c r="BV17" t="e">
        <f>AND(Plants!M14,"AAAAADy37kk=")</f>
        <v>#VALUE!</v>
      </c>
      <c r="BW17" t="e">
        <f>AND(Plants!N14,"AAAAADy37ko=")</f>
        <v>#VALUE!</v>
      </c>
      <c r="BX17" t="e">
        <f>AND(Plants!O14,"AAAAADy37ks=")</f>
        <v>#VALUE!</v>
      </c>
      <c r="BY17" t="e">
        <f>AND(Plants!P14,"AAAAADy37kw=")</f>
        <v>#VALUE!</v>
      </c>
      <c r="BZ17" t="e">
        <f>AND(Plants!Q14,"AAAAADy37k0=")</f>
        <v>#VALUE!</v>
      </c>
      <c r="CA17">
        <f>IF(Plants!15:15,"AAAAADy37k4=",0)</f>
        <v>0</v>
      </c>
      <c r="CB17" t="e">
        <f>AND(Plants!A15,"AAAAADy37k8=")</f>
        <v>#VALUE!</v>
      </c>
      <c r="CC17" t="e">
        <f>AND(Plants!B15,"AAAAADy37lA=")</f>
        <v>#VALUE!</v>
      </c>
      <c r="CD17" t="e">
        <f>AND(Plants!C15,"AAAAADy37lE=")</f>
        <v>#VALUE!</v>
      </c>
      <c r="CE17" t="e">
        <f>AND(Plants!D15,"AAAAADy37lI=")</f>
        <v>#VALUE!</v>
      </c>
      <c r="CF17" t="e">
        <f>AND(Plants!E15,"AAAAADy37lM=")</f>
        <v>#VALUE!</v>
      </c>
      <c r="CG17" t="e">
        <f>AND(Plants!F15,"AAAAADy37lQ=")</f>
        <v>#VALUE!</v>
      </c>
      <c r="CH17" t="e">
        <f>AND(Plants!G15,"AAAAADy37lU=")</f>
        <v>#VALUE!</v>
      </c>
      <c r="CI17" t="e">
        <f>AND(Plants!H15,"AAAAADy37lY=")</f>
        <v>#VALUE!</v>
      </c>
      <c r="CJ17" t="e">
        <f>AND(Plants!I15,"AAAAADy37lc=")</f>
        <v>#VALUE!</v>
      </c>
      <c r="CK17" t="e">
        <f>AND(Plants!J15,"AAAAADy37lg=")</f>
        <v>#VALUE!</v>
      </c>
      <c r="CL17" t="e">
        <f>AND(Plants!K15,"AAAAADy37lk=")</f>
        <v>#VALUE!</v>
      </c>
      <c r="CM17" t="e">
        <f>AND(Plants!L15,"AAAAADy37lo=")</f>
        <v>#VALUE!</v>
      </c>
      <c r="CN17" t="e">
        <f>AND(Plants!M15,"AAAAADy37ls=")</f>
        <v>#VALUE!</v>
      </c>
      <c r="CO17" t="e">
        <f>AND(Plants!N15,"AAAAADy37lw=")</f>
        <v>#VALUE!</v>
      </c>
      <c r="CP17" t="e">
        <f>AND(Plants!O15,"AAAAADy37l0=")</f>
        <v>#VALUE!</v>
      </c>
      <c r="CQ17" t="e">
        <f>AND(Plants!P15,"AAAAADy37l4=")</f>
        <v>#VALUE!</v>
      </c>
      <c r="CR17" t="e">
        <f>AND(Plants!Q15,"AAAAADy37l8=")</f>
        <v>#VALUE!</v>
      </c>
      <c r="CS17">
        <f>IF(Plants!16:16,"AAAAADy37mA=",0)</f>
        <v>0</v>
      </c>
      <c r="CT17" t="e">
        <f>AND(Plants!A16,"AAAAADy37mE=")</f>
        <v>#VALUE!</v>
      </c>
      <c r="CU17" t="e">
        <f>AND(Plants!B16,"AAAAADy37mI=")</f>
        <v>#VALUE!</v>
      </c>
      <c r="CV17" t="e">
        <f>AND(Plants!C16,"AAAAADy37mM=")</f>
        <v>#VALUE!</v>
      </c>
      <c r="CW17" t="e">
        <f>AND(Plants!D16,"AAAAADy37mQ=")</f>
        <v>#VALUE!</v>
      </c>
      <c r="CX17" t="e">
        <f>AND(Plants!E16,"AAAAADy37mU=")</f>
        <v>#VALUE!</v>
      </c>
      <c r="CY17" t="e">
        <f>AND(Plants!F16,"AAAAADy37mY=")</f>
        <v>#VALUE!</v>
      </c>
      <c r="CZ17" t="e">
        <f>AND(Plants!G16,"AAAAADy37mc=")</f>
        <v>#VALUE!</v>
      </c>
      <c r="DA17" t="e">
        <f>AND(Plants!H16,"AAAAADy37mg=")</f>
        <v>#VALUE!</v>
      </c>
      <c r="DB17" t="e">
        <f>AND(Plants!I16,"AAAAADy37mk=")</f>
        <v>#VALUE!</v>
      </c>
      <c r="DC17" t="e">
        <f>AND(Plants!J16,"AAAAADy37mo=")</f>
        <v>#VALUE!</v>
      </c>
      <c r="DD17" t="e">
        <f>AND(Plants!K16,"AAAAADy37ms=")</f>
        <v>#VALUE!</v>
      </c>
      <c r="DE17" t="e">
        <f>AND(Plants!L16,"AAAAADy37mw=")</f>
        <v>#VALUE!</v>
      </c>
      <c r="DF17" t="e">
        <f>AND(Plants!M16,"AAAAADy37m0=")</f>
        <v>#VALUE!</v>
      </c>
      <c r="DG17" t="e">
        <f>AND(Plants!N16,"AAAAADy37m4=")</f>
        <v>#VALUE!</v>
      </c>
      <c r="DH17" t="e">
        <f>AND(Plants!O16,"AAAAADy37m8=")</f>
        <v>#VALUE!</v>
      </c>
      <c r="DI17" t="e">
        <f>AND(Plants!P16,"AAAAADy37nA=")</f>
        <v>#VALUE!</v>
      </c>
      <c r="DJ17" t="e">
        <f>AND(Plants!Q16,"AAAAADy37nE=")</f>
        <v>#VALUE!</v>
      </c>
      <c r="DK17">
        <f>IF(Plants!17:17,"AAAAADy37nI=",0)</f>
        <v>0</v>
      </c>
      <c r="DL17" t="e">
        <f>AND(Plants!A17,"AAAAADy37nM=")</f>
        <v>#VALUE!</v>
      </c>
      <c r="DM17" t="e">
        <f>AND(Plants!B17,"AAAAADy37nQ=")</f>
        <v>#VALUE!</v>
      </c>
      <c r="DN17" t="e">
        <f>AND(Plants!C17,"AAAAADy37nU=")</f>
        <v>#VALUE!</v>
      </c>
      <c r="DO17" t="e">
        <f>AND(Plants!D17,"AAAAADy37nY=")</f>
        <v>#VALUE!</v>
      </c>
      <c r="DP17" t="e">
        <f>AND(Plants!E17,"AAAAADy37nc=")</f>
        <v>#VALUE!</v>
      </c>
      <c r="DQ17" t="e">
        <f>AND(Plants!F17,"AAAAADy37ng=")</f>
        <v>#VALUE!</v>
      </c>
      <c r="DR17" t="e">
        <f>AND(Plants!G17,"AAAAADy37nk=")</f>
        <v>#VALUE!</v>
      </c>
      <c r="DS17" t="e">
        <f>AND(Plants!H17,"AAAAADy37no=")</f>
        <v>#VALUE!</v>
      </c>
      <c r="DT17" t="e">
        <f>AND(Plants!I17,"AAAAADy37ns=")</f>
        <v>#VALUE!</v>
      </c>
      <c r="DU17" t="e">
        <f>AND(Plants!J17,"AAAAADy37nw=")</f>
        <v>#VALUE!</v>
      </c>
      <c r="DV17" t="e">
        <f>AND(Plants!K17,"AAAAADy37n0=")</f>
        <v>#VALUE!</v>
      </c>
      <c r="DW17" t="e">
        <f>AND(Plants!L17,"AAAAADy37n4=")</f>
        <v>#VALUE!</v>
      </c>
      <c r="DX17" t="e">
        <f>AND(Plants!M17,"AAAAADy37n8=")</f>
        <v>#VALUE!</v>
      </c>
      <c r="DY17" t="e">
        <f>AND(Plants!N17,"AAAAADy37oA=")</f>
        <v>#VALUE!</v>
      </c>
      <c r="DZ17" t="e">
        <f>AND(Plants!O17,"AAAAADy37oE=")</f>
        <v>#VALUE!</v>
      </c>
      <c r="EA17" t="e">
        <f>AND(Plants!P17,"AAAAADy37oI=")</f>
        <v>#VALUE!</v>
      </c>
      <c r="EB17" t="e">
        <f>AND(Plants!Q17,"AAAAADy37oM=")</f>
        <v>#VALUE!</v>
      </c>
      <c r="EC17">
        <f>IF(Plants!18:18,"AAAAADy37oQ=",0)</f>
        <v>0</v>
      </c>
      <c r="ED17" t="e">
        <f>AND(Plants!A18,"AAAAADy37oU=")</f>
        <v>#VALUE!</v>
      </c>
      <c r="EE17" t="e">
        <f>AND(Plants!B18,"AAAAADy37oY=")</f>
        <v>#VALUE!</v>
      </c>
      <c r="EF17" t="e">
        <f>AND(Plants!C18,"AAAAADy37oc=")</f>
        <v>#VALUE!</v>
      </c>
      <c r="EG17" t="e">
        <f>AND(Plants!D18,"AAAAADy37og=")</f>
        <v>#VALUE!</v>
      </c>
      <c r="EH17" t="e">
        <f>AND(Plants!E18,"AAAAADy37ok=")</f>
        <v>#VALUE!</v>
      </c>
      <c r="EI17" t="e">
        <f>AND(Plants!F18,"AAAAADy37oo=")</f>
        <v>#VALUE!</v>
      </c>
      <c r="EJ17" t="e">
        <f>AND(Plants!G18,"AAAAADy37os=")</f>
        <v>#VALUE!</v>
      </c>
      <c r="EK17" t="e">
        <f>AND(Plants!H18,"AAAAADy37ow=")</f>
        <v>#VALUE!</v>
      </c>
      <c r="EL17" t="e">
        <f>AND(Plants!I18,"AAAAADy37o0=")</f>
        <v>#VALUE!</v>
      </c>
      <c r="EM17" t="e">
        <f>AND(Plants!J18,"AAAAADy37o4=")</f>
        <v>#VALUE!</v>
      </c>
      <c r="EN17" t="e">
        <f>AND(Plants!K18,"AAAAADy37o8=")</f>
        <v>#VALUE!</v>
      </c>
      <c r="EO17" t="e">
        <f>AND(Plants!L18,"AAAAADy37pA=")</f>
        <v>#VALUE!</v>
      </c>
      <c r="EP17" t="e">
        <f>AND(Plants!M18,"AAAAADy37pE=")</f>
        <v>#VALUE!</v>
      </c>
      <c r="EQ17" t="e">
        <f>AND(Plants!N18,"AAAAADy37pI=")</f>
        <v>#VALUE!</v>
      </c>
      <c r="ER17" t="e">
        <f>AND(Plants!O18,"AAAAADy37pM=")</f>
        <v>#VALUE!</v>
      </c>
      <c r="ES17" t="e">
        <f>AND(Plants!P18,"AAAAADy37pQ=")</f>
        <v>#VALUE!</v>
      </c>
      <c r="ET17" t="e">
        <f>AND(Plants!Q18,"AAAAADy37pU=")</f>
        <v>#VALUE!</v>
      </c>
      <c r="EU17">
        <f>IF(Plants!19:19,"AAAAADy37pY=",0)</f>
        <v>0</v>
      </c>
      <c r="EV17" t="e">
        <f>AND(Plants!A19,"AAAAADy37pc=")</f>
        <v>#VALUE!</v>
      </c>
      <c r="EW17" t="e">
        <f>AND(Plants!B19,"AAAAADy37pg=")</f>
        <v>#VALUE!</v>
      </c>
      <c r="EX17" t="e">
        <f>AND(Plants!C19,"AAAAADy37pk=")</f>
        <v>#VALUE!</v>
      </c>
      <c r="EY17" t="e">
        <f>AND(Plants!D19,"AAAAADy37po=")</f>
        <v>#VALUE!</v>
      </c>
      <c r="EZ17" t="e">
        <f>AND(Plants!E19,"AAAAADy37ps=")</f>
        <v>#VALUE!</v>
      </c>
      <c r="FA17" t="e">
        <f>AND(Plants!F19,"AAAAADy37pw=")</f>
        <v>#VALUE!</v>
      </c>
      <c r="FB17" t="e">
        <f>AND(Plants!G19,"AAAAADy37p0=")</f>
        <v>#VALUE!</v>
      </c>
      <c r="FC17" t="e">
        <f>AND(Plants!H19,"AAAAADy37p4=")</f>
        <v>#VALUE!</v>
      </c>
      <c r="FD17" t="e">
        <f>AND(Plants!I19,"AAAAADy37p8=")</f>
        <v>#VALUE!</v>
      </c>
      <c r="FE17" t="e">
        <f>AND(Plants!J19,"AAAAADy37qA=")</f>
        <v>#VALUE!</v>
      </c>
      <c r="FF17" t="e">
        <f>AND(Plants!K19,"AAAAADy37qE=")</f>
        <v>#VALUE!</v>
      </c>
      <c r="FG17" t="e">
        <f>AND(Plants!L19,"AAAAADy37qI=")</f>
        <v>#VALUE!</v>
      </c>
      <c r="FH17" t="e">
        <f>AND(Plants!M19,"AAAAADy37qM=")</f>
        <v>#VALUE!</v>
      </c>
      <c r="FI17" t="e">
        <f>AND(Plants!N19,"AAAAADy37qQ=")</f>
        <v>#VALUE!</v>
      </c>
      <c r="FJ17" t="e">
        <f>AND(Plants!O19,"AAAAADy37qU=")</f>
        <v>#VALUE!</v>
      </c>
      <c r="FK17" t="e">
        <f>AND(Plants!P19,"AAAAADy37qY=")</f>
        <v>#VALUE!</v>
      </c>
      <c r="FL17" t="e">
        <f>AND(Plants!Q19,"AAAAADy37qc=")</f>
        <v>#VALUE!</v>
      </c>
      <c r="FM17">
        <f>IF(Plants!20:20,"AAAAADy37qg=",0)</f>
        <v>0</v>
      </c>
      <c r="FN17" t="e">
        <f>AND(Plants!A20,"AAAAADy37qk=")</f>
        <v>#VALUE!</v>
      </c>
      <c r="FO17" t="e">
        <f>AND(Plants!B20,"AAAAADy37qo=")</f>
        <v>#VALUE!</v>
      </c>
      <c r="FP17" t="e">
        <f>AND(Plants!C20,"AAAAADy37qs=")</f>
        <v>#VALUE!</v>
      </c>
      <c r="FQ17" t="e">
        <f>AND(Plants!D20,"AAAAADy37qw=")</f>
        <v>#VALUE!</v>
      </c>
      <c r="FR17" t="e">
        <f>AND(Plants!E20,"AAAAADy37q0=")</f>
        <v>#VALUE!</v>
      </c>
      <c r="FS17" t="e">
        <f>AND(Plants!F20,"AAAAADy37q4=")</f>
        <v>#VALUE!</v>
      </c>
      <c r="FT17" t="e">
        <f>AND(Plants!G20,"AAAAADy37q8=")</f>
        <v>#VALUE!</v>
      </c>
      <c r="FU17" t="e">
        <f>AND(Plants!H20,"AAAAADy37rA=")</f>
        <v>#VALUE!</v>
      </c>
      <c r="FV17" t="e">
        <f>AND(Plants!I20,"AAAAADy37rE=")</f>
        <v>#VALUE!</v>
      </c>
      <c r="FW17" t="e">
        <f>AND(Plants!J20,"AAAAADy37rI=")</f>
        <v>#VALUE!</v>
      </c>
      <c r="FX17" t="e">
        <f>AND(Plants!K20,"AAAAADy37rM=")</f>
        <v>#VALUE!</v>
      </c>
      <c r="FY17" t="e">
        <f>AND(Plants!L20,"AAAAADy37rQ=")</f>
        <v>#VALUE!</v>
      </c>
      <c r="FZ17" t="e">
        <f>AND(Plants!M20,"AAAAADy37rU=")</f>
        <v>#VALUE!</v>
      </c>
      <c r="GA17" t="e">
        <f>AND(Plants!N20,"AAAAADy37rY=")</f>
        <v>#VALUE!</v>
      </c>
      <c r="GB17" t="e">
        <f>AND(Plants!O20,"AAAAADy37rc=")</f>
        <v>#VALUE!</v>
      </c>
      <c r="GC17" t="e">
        <f>AND(Plants!P20,"AAAAADy37rg=")</f>
        <v>#VALUE!</v>
      </c>
      <c r="GD17" t="e">
        <f>AND(Plants!Q20,"AAAAADy37rk=")</f>
        <v>#VALUE!</v>
      </c>
      <c r="GE17">
        <f>IF(Plants!21:21,"AAAAADy37ro=",0)</f>
        <v>0</v>
      </c>
      <c r="GF17" t="e">
        <f>AND(Plants!A21,"AAAAADy37rs=")</f>
        <v>#VALUE!</v>
      </c>
      <c r="GG17" t="e">
        <f>AND(Plants!B21,"AAAAADy37rw=")</f>
        <v>#VALUE!</v>
      </c>
      <c r="GH17" t="e">
        <f>AND(Plants!C21,"AAAAADy37r0=")</f>
        <v>#VALUE!</v>
      </c>
      <c r="GI17" t="e">
        <f>AND(Plants!D21,"AAAAADy37r4=")</f>
        <v>#VALUE!</v>
      </c>
      <c r="GJ17" t="e">
        <f>AND(Plants!E21,"AAAAADy37r8=")</f>
        <v>#VALUE!</v>
      </c>
      <c r="GK17" t="e">
        <f>AND(Plants!F21,"AAAAADy37sA=")</f>
        <v>#VALUE!</v>
      </c>
      <c r="GL17" t="e">
        <f>AND(Plants!G21,"AAAAADy37sE=")</f>
        <v>#VALUE!</v>
      </c>
      <c r="GM17" t="e">
        <f>AND(Plants!H21,"AAAAADy37sI=")</f>
        <v>#VALUE!</v>
      </c>
      <c r="GN17" t="e">
        <f>AND(Plants!I21,"AAAAADy37sM=")</f>
        <v>#VALUE!</v>
      </c>
      <c r="GO17" t="e">
        <f>AND(Plants!J21,"AAAAADy37sQ=")</f>
        <v>#VALUE!</v>
      </c>
      <c r="GP17" t="e">
        <f>AND(Plants!K21,"AAAAADy37sU=")</f>
        <v>#VALUE!</v>
      </c>
      <c r="GQ17" t="e">
        <f>AND(Plants!L21,"AAAAADy37sY=")</f>
        <v>#VALUE!</v>
      </c>
      <c r="GR17" t="e">
        <f>AND(Plants!M21,"AAAAADy37sc=")</f>
        <v>#VALUE!</v>
      </c>
      <c r="GS17" t="e">
        <f>AND(Plants!N21,"AAAAADy37sg=")</f>
        <v>#VALUE!</v>
      </c>
      <c r="GT17" t="e">
        <f>AND(Plants!O21,"AAAAADy37sk=")</f>
        <v>#VALUE!</v>
      </c>
      <c r="GU17" t="e">
        <f>AND(Plants!P21,"AAAAADy37so=")</f>
        <v>#VALUE!</v>
      </c>
      <c r="GV17" t="e">
        <f>AND(Plants!Q21,"AAAAADy37ss=")</f>
        <v>#VALUE!</v>
      </c>
      <c r="GW17">
        <f>IF(Plants!22:22,"AAAAADy37sw=",0)</f>
        <v>0</v>
      </c>
      <c r="GX17" t="e">
        <f>AND(Plants!A22,"AAAAADy37s0=")</f>
        <v>#VALUE!</v>
      </c>
      <c r="GY17" t="e">
        <f>AND(Plants!B22,"AAAAADy37s4=")</f>
        <v>#VALUE!</v>
      </c>
      <c r="GZ17" t="e">
        <f>AND(Plants!C22,"AAAAADy37s8=")</f>
        <v>#VALUE!</v>
      </c>
      <c r="HA17" t="e">
        <f>AND(Plants!D22,"AAAAADy37tA=")</f>
        <v>#VALUE!</v>
      </c>
      <c r="HB17" t="e">
        <f>AND(Plants!E22,"AAAAADy37tE=")</f>
        <v>#VALUE!</v>
      </c>
      <c r="HC17" t="e">
        <f>AND(Plants!F22,"AAAAADy37tI=")</f>
        <v>#VALUE!</v>
      </c>
      <c r="HD17" t="e">
        <f>AND(Plants!G22,"AAAAADy37tM=")</f>
        <v>#VALUE!</v>
      </c>
      <c r="HE17" t="e">
        <f>AND(Plants!H22,"AAAAADy37tQ=")</f>
        <v>#VALUE!</v>
      </c>
      <c r="HF17" t="e">
        <f>AND(Plants!I22,"AAAAADy37tU=")</f>
        <v>#VALUE!</v>
      </c>
      <c r="HG17" t="e">
        <f>AND(Plants!J22,"AAAAADy37tY=")</f>
        <v>#VALUE!</v>
      </c>
      <c r="HH17" t="e">
        <f>AND(Plants!K22,"AAAAADy37tc=")</f>
        <v>#VALUE!</v>
      </c>
      <c r="HI17" t="e">
        <f>AND(Plants!L22,"AAAAADy37tg=")</f>
        <v>#VALUE!</v>
      </c>
      <c r="HJ17" t="e">
        <f>AND(Plants!M22,"AAAAADy37tk=")</f>
        <v>#VALUE!</v>
      </c>
      <c r="HK17" t="e">
        <f>AND(Plants!N22,"AAAAADy37to=")</f>
        <v>#VALUE!</v>
      </c>
      <c r="HL17" t="e">
        <f>AND(Plants!O22,"AAAAADy37ts=")</f>
        <v>#VALUE!</v>
      </c>
      <c r="HM17" t="e">
        <f>AND(Plants!P22,"AAAAADy37tw=")</f>
        <v>#VALUE!</v>
      </c>
      <c r="HN17" t="e">
        <f>AND(Plants!Q22,"AAAAADy37t0=")</f>
        <v>#VALUE!</v>
      </c>
      <c r="HO17">
        <f>IF(Plants!23:23,"AAAAADy37t4=",0)</f>
        <v>0</v>
      </c>
      <c r="HP17" t="e">
        <f>AND(Plants!A23,"AAAAADy37t8=")</f>
        <v>#VALUE!</v>
      </c>
      <c r="HQ17" t="e">
        <f>AND(Plants!B23,"AAAAADy37uA=")</f>
        <v>#VALUE!</v>
      </c>
      <c r="HR17" t="e">
        <f>AND(Plants!C23,"AAAAADy37uE=")</f>
        <v>#VALUE!</v>
      </c>
      <c r="HS17" t="e">
        <f>AND(Plants!D23,"AAAAADy37uI=")</f>
        <v>#VALUE!</v>
      </c>
      <c r="HT17" t="e">
        <f>AND(Plants!E23,"AAAAADy37uM=")</f>
        <v>#VALUE!</v>
      </c>
      <c r="HU17" t="e">
        <f>AND(Plants!F23,"AAAAADy37uQ=")</f>
        <v>#VALUE!</v>
      </c>
      <c r="HV17" t="e">
        <f>AND(Plants!G23,"AAAAADy37uU=")</f>
        <v>#VALUE!</v>
      </c>
      <c r="HW17" t="e">
        <f>AND(Plants!H23,"AAAAADy37uY=")</f>
        <v>#VALUE!</v>
      </c>
      <c r="HX17" t="e">
        <f>AND(Plants!I23,"AAAAADy37uc=")</f>
        <v>#VALUE!</v>
      </c>
      <c r="HY17" t="e">
        <f>AND(Plants!J23,"AAAAADy37ug=")</f>
        <v>#VALUE!</v>
      </c>
      <c r="HZ17" t="e">
        <f>AND(Plants!K23,"AAAAADy37uk=")</f>
        <v>#VALUE!</v>
      </c>
      <c r="IA17" t="e">
        <f>AND(Plants!L23,"AAAAADy37uo=")</f>
        <v>#VALUE!</v>
      </c>
      <c r="IB17" t="e">
        <f>AND(Plants!M23,"AAAAADy37us=")</f>
        <v>#VALUE!</v>
      </c>
      <c r="IC17" t="e">
        <f>AND(Plants!N23,"AAAAADy37uw=")</f>
        <v>#VALUE!</v>
      </c>
      <c r="ID17" t="e">
        <f>AND(Plants!O23,"AAAAADy37u0=")</f>
        <v>#VALUE!</v>
      </c>
      <c r="IE17" t="e">
        <f>AND(Plants!P23,"AAAAADy37u4=")</f>
        <v>#VALUE!</v>
      </c>
      <c r="IF17" t="e">
        <f>AND(Plants!Q23,"AAAAADy37u8=")</f>
        <v>#VALUE!</v>
      </c>
      <c r="IG17">
        <f>IF(Plants!24:24,"AAAAADy37vA=",0)</f>
        <v>0</v>
      </c>
      <c r="IH17" t="e">
        <f>AND(Plants!A24,"AAAAADy37vE=")</f>
        <v>#VALUE!</v>
      </c>
      <c r="II17" t="e">
        <f>AND(Plants!B24,"AAAAADy37vI=")</f>
        <v>#VALUE!</v>
      </c>
      <c r="IJ17" t="e">
        <f>AND(Plants!C24,"AAAAADy37vM=")</f>
        <v>#VALUE!</v>
      </c>
      <c r="IK17" t="e">
        <f>AND(Plants!D24,"AAAAADy37vQ=")</f>
        <v>#VALUE!</v>
      </c>
      <c r="IL17" t="e">
        <f>AND(Plants!E24,"AAAAADy37vU=")</f>
        <v>#VALUE!</v>
      </c>
      <c r="IM17" t="e">
        <f>AND(Plants!F24,"AAAAADy37vY=")</f>
        <v>#VALUE!</v>
      </c>
      <c r="IN17" t="e">
        <f>AND(Plants!G24,"AAAAADy37vc=")</f>
        <v>#VALUE!</v>
      </c>
      <c r="IO17" t="e">
        <f>AND(Plants!H24,"AAAAADy37vg=")</f>
        <v>#VALUE!</v>
      </c>
      <c r="IP17" t="e">
        <f>AND(Plants!I24,"AAAAADy37vk=")</f>
        <v>#VALUE!</v>
      </c>
      <c r="IQ17" t="e">
        <f>AND(Plants!J24,"AAAAADy37vo=")</f>
        <v>#VALUE!</v>
      </c>
      <c r="IR17" t="e">
        <f>AND(Plants!K24,"AAAAADy37vs=")</f>
        <v>#VALUE!</v>
      </c>
      <c r="IS17" t="e">
        <f>AND(Plants!L24,"AAAAADy37vw=")</f>
        <v>#VALUE!</v>
      </c>
      <c r="IT17" t="e">
        <f>AND(Plants!M24,"AAAAADy37v0=")</f>
        <v>#VALUE!</v>
      </c>
      <c r="IU17" t="e">
        <f>AND(Plants!N24,"AAAAADy37v4=")</f>
        <v>#VALUE!</v>
      </c>
      <c r="IV17" t="e">
        <f>AND(Plants!O24,"AAAAADy37v8=")</f>
        <v>#VALUE!</v>
      </c>
    </row>
    <row r="18" spans="1:256">
      <c r="A18" t="e">
        <f>AND(Plants!P24,"AAAAAH/oOgA=")</f>
        <v>#VALUE!</v>
      </c>
      <c r="B18" t="e">
        <f>AND(Plants!Q24,"AAAAAH/oOgE=")</f>
        <v>#VALUE!</v>
      </c>
      <c r="C18" t="e">
        <f>IF(Plants!25:25,"AAAAAH/oOgI=",0)</f>
        <v>#VALUE!</v>
      </c>
      <c r="D18" t="e">
        <f>AND(Plants!A25,"AAAAAH/oOgM=")</f>
        <v>#VALUE!</v>
      </c>
      <c r="E18" t="e">
        <f>AND(Plants!B25,"AAAAAH/oOgQ=")</f>
        <v>#VALUE!</v>
      </c>
      <c r="F18" t="e">
        <f>AND(Plants!C25,"AAAAAH/oOgU=")</f>
        <v>#VALUE!</v>
      </c>
      <c r="G18" t="e">
        <f>AND(Plants!D25,"AAAAAH/oOgY=")</f>
        <v>#VALUE!</v>
      </c>
      <c r="H18" t="e">
        <f>AND(Plants!E25,"AAAAAH/oOgc=")</f>
        <v>#VALUE!</v>
      </c>
      <c r="I18" t="e">
        <f>AND(Plants!F25,"AAAAAH/oOgg=")</f>
        <v>#VALUE!</v>
      </c>
      <c r="J18" t="e">
        <f>AND(Plants!G25,"AAAAAH/oOgk=")</f>
        <v>#VALUE!</v>
      </c>
      <c r="K18" t="e">
        <f>AND(Plants!H25,"AAAAAH/oOgo=")</f>
        <v>#VALUE!</v>
      </c>
      <c r="L18" t="e">
        <f>AND(Plants!I25,"AAAAAH/oOgs=")</f>
        <v>#VALUE!</v>
      </c>
      <c r="M18" t="e">
        <f>AND(Plants!J25,"AAAAAH/oOgw=")</f>
        <v>#VALUE!</v>
      </c>
      <c r="N18" t="e">
        <f>AND(Plants!K25,"AAAAAH/oOg0=")</f>
        <v>#VALUE!</v>
      </c>
      <c r="O18" t="e">
        <f>AND(Plants!L25,"AAAAAH/oOg4=")</f>
        <v>#VALUE!</v>
      </c>
      <c r="P18" t="e">
        <f>AND(Plants!M25,"AAAAAH/oOg8=")</f>
        <v>#VALUE!</v>
      </c>
      <c r="Q18" t="e">
        <f>AND(Plants!N25,"AAAAAH/oOhA=")</f>
        <v>#VALUE!</v>
      </c>
      <c r="R18" t="e">
        <f>AND(Plants!O25,"AAAAAH/oOhE=")</f>
        <v>#VALUE!</v>
      </c>
      <c r="S18" t="e">
        <f>AND(Plants!P25,"AAAAAH/oOhI=")</f>
        <v>#VALUE!</v>
      </c>
      <c r="T18" t="e">
        <f>AND(Plants!Q25,"AAAAAH/oOhM=")</f>
        <v>#VALUE!</v>
      </c>
      <c r="U18">
        <f>IF(Plants!26:26,"AAAAAH/oOhQ=",0)</f>
        <v>0</v>
      </c>
      <c r="V18" t="e">
        <f>AND(Plants!A26,"AAAAAH/oOhU=")</f>
        <v>#VALUE!</v>
      </c>
      <c r="W18" t="e">
        <f>AND(Plants!B26,"AAAAAH/oOhY=")</f>
        <v>#VALUE!</v>
      </c>
      <c r="X18" t="e">
        <f>AND(Plants!C26,"AAAAAH/oOhc=")</f>
        <v>#VALUE!</v>
      </c>
      <c r="Y18" t="e">
        <f>AND(Plants!D26,"AAAAAH/oOhg=")</f>
        <v>#VALUE!</v>
      </c>
      <c r="Z18" t="e">
        <f>AND(Plants!E26,"AAAAAH/oOhk=")</f>
        <v>#VALUE!</v>
      </c>
      <c r="AA18" t="e">
        <f>AND(Plants!F26,"AAAAAH/oOho=")</f>
        <v>#VALUE!</v>
      </c>
      <c r="AB18" t="e">
        <f>AND(Plants!G26,"AAAAAH/oOhs=")</f>
        <v>#VALUE!</v>
      </c>
      <c r="AC18" t="e">
        <f>AND(Plants!H26,"AAAAAH/oOhw=")</f>
        <v>#VALUE!</v>
      </c>
      <c r="AD18" t="e">
        <f>AND(Plants!I26,"AAAAAH/oOh0=")</f>
        <v>#VALUE!</v>
      </c>
      <c r="AE18" t="e">
        <f>AND(Plants!J26,"AAAAAH/oOh4=")</f>
        <v>#VALUE!</v>
      </c>
      <c r="AF18" t="e">
        <f>AND(Plants!K26,"AAAAAH/oOh8=")</f>
        <v>#VALUE!</v>
      </c>
      <c r="AG18" t="e">
        <f>AND(Plants!L26,"AAAAAH/oOiA=")</f>
        <v>#VALUE!</v>
      </c>
      <c r="AH18" t="e">
        <f>AND(Plants!M26,"AAAAAH/oOiE=")</f>
        <v>#VALUE!</v>
      </c>
      <c r="AI18" t="e">
        <f>AND(Plants!N26,"AAAAAH/oOiI=")</f>
        <v>#VALUE!</v>
      </c>
      <c r="AJ18" t="e">
        <f>AND(Plants!O26,"AAAAAH/oOiM=")</f>
        <v>#VALUE!</v>
      </c>
      <c r="AK18" t="e">
        <f>AND(Plants!P26,"AAAAAH/oOiQ=")</f>
        <v>#VALUE!</v>
      </c>
      <c r="AL18" t="e">
        <f>AND(Plants!Q26,"AAAAAH/oOiU=")</f>
        <v>#VALUE!</v>
      </c>
      <c r="AM18">
        <f>IF(Plants!27:27,"AAAAAH/oOiY=",0)</f>
        <v>0</v>
      </c>
      <c r="AN18" t="e">
        <f>AND(Plants!A27,"AAAAAH/oOic=")</f>
        <v>#VALUE!</v>
      </c>
      <c r="AO18" t="e">
        <f>AND(Plants!B27,"AAAAAH/oOig=")</f>
        <v>#VALUE!</v>
      </c>
      <c r="AP18" t="e">
        <f>AND(Plants!C27,"AAAAAH/oOik=")</f>
        <v>#VALUE!</v>
      </c>
      <c r="AQ18" t="e">
        <f>AND(Plants!D27,"AAAAAH/oOio=")</f>
        <v>#VALUE!</v>
      </c>
      <c r="AR18" t="e">
        <f>AND(Plants!E27,"AAAAAH/oOis=")</f>
        <v>#VALUE!</v>
      </c>
      <c r="AS18" t="e">
        <f>AND(Plants!F27,"AAAAAH/oOiw=")</f>
        <v>#VALUE!</v>
      </c>
      <c r="AT18" t="e">
        <f>AND(Plants!G27,"AAAAAH/oOi0=")</f>
        <v>#VALUE!</v>
      </c>
      <c r="AU18" t="e">
        <f>AND(Plants!H27,"AAAAAH/oOi4=")</f>
        <v>#VALUE!</v>
      </c>
      <c r="AV18" t="e">
        <f>AND(Plants!I27,"AAAAAH/oOi8=")</f>
        <v>#VALUE!</v>
      </c>
      <c r="AW18" t="e">
        <f>AND(Plants!J27,"AAAAAH/oOjA=")</f>
        <v>#VALUE!</v>
      </c>
      <c r="AX18" t="e">
        <f>AND(Plants!K27,"AAAAAH/oOjE=")</f>
        <v>#VALUE!</v>
      </c>
      <c r="AY18" t="e">
        <f>AND(Plants!L27,"AAAAAH/oOjI=")</f>
        <v>#VALUE!</v>
      </c>
      <c r="AZ18" t="e">
        <f>AND(Plants!M27,"AAAAAH/oOjM=")</f>
        <v>#VALUE!</v>
      </c>
      <c r="BA18" t="e">
        <f>AND(Plants!N27,"AAAAAH/oOjQ=")</f>
        <v>#VALUE!</v>
      </c>
      <c r="BB18" t="e">
        <f>AND(Plants!O27,"AAAAAH/oOjU=")</f>
        <v>#VALUE!</v>
      </c>
      <c r="BC18" t="e">
        <f>AND(Plants!P27,"AAAAAH/oOjY=")</f>
        <v>#VALUE!</v>
      </c>
      <c r="BD18" t="e">
        <f>AND(Plants!Q27,"AAAAAH/oOjc=")</f>
        <v>#VALUE!</v>
      </c>
      <c r="BE18">
        <f>IF(Plants!28:28,"AAAAAH/oOjg=",0)</f>
        <v>0</v>
      </c>
      <c r="BF18" t="e">
        <f>AND(Plants!A28,"AAAAAH/oOjk=")</f>
        <v>#VALUE!</v>
      </c>
      <c r="BG18" t="e">
        <f>AND(Plants!B28,"AAAAAH/oOjo=")</f>
        <v>#VALUE!</v>
      </c>
      <c r="BH18" t="e">
        <f>AND(Plants!C28,"AAAAAH/oOjs=")</f>
        <v>#VALUE!</v>
      </c>
      <c r="BI18" t="e">
        <f>AND(Plants!D28,"AAAAAH/oOjw=")</f>
        <v>#VALUE!</v>
      </c>
      <c r="BJ18" t="e">
        <f>AND(Plants!E28,"AAAAAH/oOj0=")</f>
        <v>#VALUE!</v>
      </c>
      <c r="BK18" t="e">
        <f>AND(Plants!F28,"AAAAAH/oOj4=")</f>
        <v>#VALUE!</v>
      </c>
      <c r="BL18" t="e">
        <f>AND(Plants!G28,"AAAAAH/oOj8=")</f>
        <v>#VALUE!</v>
      </c>
      <c r="BM18" t="e">
        <f>AND(Plants!H28,"AAAAAH/oOkA=")</f>
        <v>#VALUE!</v>
      </c>
      <c r="BN18" t="e">
        <f>AND(Plants!I28,"AAAAAH/oOkE=")</f>
        <v>#VALUE!</v>
      </c>
      <c r="BO18" t="e">
        <f>AND(Plants!J28,"AAAAAH/oOkI=")</f>
        <v>#VALUE!</v>
      </c>
      <c r="BP18" t="e">
        <f>AND(Plants!K28,"AAAAAH/oOkM=")</f>
        <v>#VALUE!</v>
      </c>
      <c r="BQ18" t="e">
        <f>AND(Plants!L28,"AAAAAH/oOkQ=")</f>
        <v>#VALUE!</v>
      </c>
      <c r="BR18" t="e">
        <f>AND(Plants!M28,"AAAAAH/oOkU=")</f>
        <v>#VALUE!</v>
      </c>
      <c r="BS18" t="e">
        <f>AND(Plants!N28,"AAAAAH/oOkY=")</f>
        <v>#VALUE!</v>
      </c>
      <c r="BT18" t="e">
        <f>AND(Plants!O28,"AAAAAH/oOkc=")</f>
        <v>#VALUE!</v>
      </c>
      <c r="BU18" t="e">
        <f>AND(Plants!P28,"AAAAAH/oOkg=")</f>
        <v>#VALUE!</v>
      </c>
      <c r="BV18" t="e">
        <f>AND(Plants!Q28,"AAAAAH/oOkk=")</f>
        <v>#VALUE!</v>
      </c>
      <c r="BW18">
        <f>IF(Plants!29:29,"AAAAAH/oOko=",0)</f>
        <v>0</v>
      </c>
      <c r="BX18" t="e">
        <f>AND(Plants!A29,"AAAAAH/oOks=")</f>
        <v>#VALUE!</v>
      </c>
      <c r="BY18" t="e">
        <f>AND(Plants!B29,"AAAAAH/oOkw=")</f>
        <v>#VALUE!</v>
      </c>
      <c r="BZ18" t="e">
        <f>AND(Plants!C29,"AAAAAH/oOk0=")</f>
        <v>#VALUE!</v>
      </c>
      <c r="CA18" t="e">
        <f>AND(Plants!D29,"AAAAAH/oOk4=")</f>
        <v>#VALUE!</v>
      </c>
      <c r="CB18" t="e">
        <f>AND(Plants!E29,"AAAAAH/oOk8=")</f>
        <v>#VALUE!</v>
      </c>
      <c r="CC18" t="e">
        <f>AND(Plants!F29,"AAAAAH/oOlA=")</f>
        <v>#VALUE!</v>
      </c>
      <c r="CD18" t="e">
        <f>AND(Plants!G29,"AAAAAH/oOlE=")</f>
        <v>#VALUE!</v>
      </c>
      <c r="CE18" t="e">
        <f>AND(Plants!H29,"AAAAAH/oOlI=")</f>
        <v>#VALUE!</v>
      </c>
      <c r="CF18" t="e">
        <f>AND(Plants!I29,"AAAAAH/oOlM=")</f>
        <v>#VALUE!</v>
      </c>
      <c r="CG18" t="e">
        <f>AND(Plants!J29,"AAAAAH/oOlQ=")</f>
        <v>#VALUE!</v>
      </c>
      <c r="CH18" t="e">
        <f>AND(Plants!K29,"AAAAAH/oOlU=")</f>
        <v>#VALUE!</v>
      </c>
      <c r="CI18" t="e">
        <f>AND(Plants!L29,"AAAAAH/oOlY=")</f>
        <v>#VALUE!</v>
      </c>
      <c r="CJ18" t="e">
        <f>AND(Plants!M29,"AAAAAH/oOlc=")</f>
        <v>#VALUE!</v>
      </c>
      <c r="CK18" t="e">
        <f>AND(Plants!N29,"AAAAAH/oOlg=")</f>
        <v>#VALUE!</v>
      </c>
      <c r="CL18" t="e">
        <f>AND(Plants!O29,"AAAAAH/oOlk=")</f>
        <v>#VALUE!</v>
      </c>
      <c r="CM18" t="e">
        <f>AND(Plants!P29,"AAAAAH/oOlo=")</f>
        <v>#VALUE!</v>
      </c>
      <c r="CN18" t="e">
        <f>AND(Plants!Q29,"AAAAAH/oOls=")</f>
        <v>#VALUE!</v>
      </c>
      <c r="CO18">
        <f>IF(Plants!30:30,"AAAAAH/oOlw=",0)</f>
        <v>0</v>
      </c>
      <c r="CP18" t="e">
        <f>AND(Plants!A30,"AAAAAH/oOl0=")</f>
        <v>#VALUE!</v>
      </c>
      <c r="CQ18" t="e">
        <f>AND(Plants!B30,"AAAAAH/oOl4=")</f>
        <v>#VALUE!</v>
      </c>
      <c r="CR18" t="e">
        <f>AND(Plants!C30,"AAAAAH/oOl8=")</f>
        <v>#VALUE!</v>
      </c>
      <c r="CS18" t="e">
        <f>AND(Plants!D30,"AAAAAH/oOmA=")</f>
        <v>#VALUE!</v>
      </c>
      <c r="CT18" t="e">
        <f>AND(Plants!E30,"AAAAAH/oOmE=")</f>
        <v>#VALUE!</v>
      </c>
      <c r="CU18" t="e">
        <f>AND(Plants!F30,"AAAAAH/oOmI=")</f>
        <v>#VALUE!</v>
      </c>
      <c r="CV18" t="e">
        <f>AND(Plants!G30,"AAAAAH/oOmM=")</f>
        <v>#VALUE!</v>
      </c>
      <c r="CW18" t="e">
        <f>AND(Plants!H30,"AAAAAH/oOmQ=")</f>
        <v>#VALUE!</v>
      </c>
      <c r="CX18" t="e">
        <f>AND(Plants!I30,"AAAAAH/oOmU=")</f>
        <v>#VALUE!</v>
      </c>
      <c r="CY18" t="e">
        <f>AND(Plants!J30,"AAAAAH/oOmY=")</f>
        <v>#VALUE!</v>
      </c>
      <c r="CZ18" t="e">
        <f>AND(Plants!K30,"AAAAAH/oOmc=")</f>
        <v>#VALUE!</v>
      </c>
      <c r="DA18" t="e">
        <f>AND(Plants!L30,"AAAAAH/oOmg=")</f>
        <v>#VALUE!</v>
      </c>
      <c r="DB18" t="e">
        <f>AND(Plants!M30,"AAAAAH/oOmk=")</f>
        <v>#VALUE!</v>
      </c>
      <c r="DC18" t="e">
        <f>AND(Plants!N30,"AAAAAH/oOmo=")</f>
        <v>#VALUE!</v>
      </c>
      <c r="DD18" t="e">
        <f>AND(Plants!O30,"AAAAAH/oOms=")</f>
        <v>#VALUE!</v>
      </c>
      <c r="DE18" t="e">
        <f>AND(Plants!P30,"AAAAAH/oOmw=")</f>
        <v>#VALUE!</v>
      </c>
      <c r="DF18" t="e">
        <f>AND(Plants!Q30,"AAAAAH/oOm0=")</f>
        <v>#VALUE!</v>
      </c>
      <c r="DG18">
        <f>IF(Plants!31:31,"AAAAAH/oOm4=",0)</f>
        <v>0</v>
      </c>
      <c r="DH18" t="e">
        <f>AND(Plants!A31,"AAAAAH/oOm8=")</f>
        <v>#VALUE!</v>
      </c>
      <c r="DI18" t="e">
        <f>AND(Plants!B31,"AAAAAH/oOnA=")</f>
        <v>#VALUE!</v>
      </c>
      <c r="DJ18" t="e">
        <f>AND(Plants!C31,"AAAAAH/oOnE=")</f>
        <v>#VALUE!</v>
      </c>
      <c r="DK18" t="e">
        <f>AND(Plants!D31,"AAAAAH/oOnI=")</f>
        <v>#VALUE!</v>
      </c>
      <c r="DL18" t="e">
        <f>AND(Plants!E31,"AAAAAH/oOnM=")</f>
        <v>#VALUE!</v>
      </c>
      <c r="DM18" t="e">
        <f>AND(Plants!F31,"AAAAAH/oOnQ=")</f>
        <v>#VALUE!</v>
      </c>
      <c r="DN18" t="e">
        <f>AND(Plants!G31,"AAAAAH/oOnU=")</f>
        <v>#VALUE!</v>
      </c>
      <c r="DO18" t="e">
        <f>AND(Plants!H31,"AAAAAH/oOnY=")</f>
        <v>#VALUE!</v>
      </c>
      <c r="DP18" t="e">
        <f>AND(Plants!I31,"AAAAAH/oOnc=")</f>
        <v>#VALUE!</v>
      </c>
      <c r="DQ18" t="e">
        <f>AND(Plants!J31,"AAAAAH/oOng=")</f>
        <v>#VALUE!</v>
      </c>
      <c r="DR18" t="e">
        <f>AND(Plants!K31,"AAAAAH/oOnk=")</f>
        <v>#VALUE!</v>
      </c>
      <c r="DS18" t="e">
        <f>AND(Plants!L31,"AAAAAH/oOno=")</f>
        <v>#VALUE!</v>
      </c>
      <c r="DT18" t="e">
        <f>AND(Plants!M31,"AAAAAH/oOns=")</f>
        <v>#VALUE!</v>
      </c>
      <c r="DU18" t="e">
        <f>AND(Plants!N31,"AAAAAH/oOnw=")</f>
        <v>#VALUE!</v>
      </c>
      <c r="DV18" t="e">
        <f>AND(Plants!O31,"AAAAAH/oOn0=")</f>
        <v>#VALUE!</v>
      </c>
      <c r="DW18" t="e">
        <f>AND(Plants!P31,"AAAAAH/oOn4=")</f>
        <v>#VALUE!</v>
      </c>
      <c r="DX18" t="e">
        <f>AND(Plants!Q31,"AAAAAH/oOn8=")</f>
        <v>#VALUE!</v>
      </c>
      <c r="DY18">
        <f>IF(Plants!32:32,"AAAAAH/oOoA=",0)</f>
        <v>0</v>
      </c>
      <c r="DZ18" t="e">
        <f>AND(Plants!A32,"AAAAAH/oOoE=")</f>
        <v>#VALUE!</v>
      </c>
      <c r="EA18" t="e">
        <f>AND(Plants!B32,"AAAAAH/oOoI=")</f>
        <v>#VALUE!</v>
      </c>
      <c r="EB18" t="e">
        <f>AND(Plants!C32,"AAAAAH/oOoM=")</f>
        <v>#VALUE!</v>
      </c>
      <c r="EC18" t="e">
        <f>AND(Plants!D32,"AAAAAH/oOoQ=")</f>
        <v>#VALUE!</v>
      </c>
      <c r="ED18" t="e">
        <f>AND(Plants!E32,"AAAAAH/oOoU=")</f>
        <v>#VALUE!</v>
      </c>
      <c r="EE18" t="e">
        <f>AND(Plants!F32,"AAAAAH/oOoY=")</f>
        <v>#VALUE!</v>
      </c>
      <c r="EF18" t="e">
        <f>AND(Plants!G32,"AAAAAH/oOoc=")</f>
        <v>#VALUE!</v>
      </c>
      <c r="EG18" t="e">
        <f>AND(Plants!H32,"AAAAAH/oOog=")</f>
        <v>#VALUE!</v>
      </c>
      <c r="EH18" t="e">
        <f>AND(Plants!I32,"AAAAAH/oOok=")</f>
        <v>#VALUE!</v>
      </c>
      <c r="EI18" t="e">
        <f>AND(Plants!J32,"AAAAAH/oOoo=")</f>
        <v>#VALUE!</v>
      </c>
      <c r="EJ18" t="e">
        <f>AND(Plants!K32,"AAAAAH/oOos=")</f>
        <v>#VALUE!</v>
      </c>
      <c r="EK18" t="e">
        <f>AND(Plants!L32,"AAAAAH/oOow=")</f>
        <v>#VALUE!</v>
      </c>
      <c r="EL18" t="e">
        <f>AND(Plants!M32,"AAAAAH/oOo0=")</f>
        <v>#VALUE!</v>
      </c>
      <c r="EM18" t="e">
        <f>AND(Plants!N32,"AAAAAH/oOo4=")</f>
        <v>#VALUE!</v>
      </c>
      <c r="EN18" t="e">
        <f>AND(Plants!O32,"AAAAAH/oOo8=")</f>
        <v>#VALUE!</v>
      </c>
      <c r="EO18" t="e">
        <f>AND(Plants!P32,"AAAAAH/oOpA=")</f>
        <v>#VALUE!</v>
      </c>
      <c r="EP18" t="e">
        <f>AND(Plants!Q32,"AAAAAH/oOpE=")</f>
        <v>#VALUE!</v>
      </c>
      <c r="EQ18">
        <f>IF(Plants!33:33,"AAAAAH/oOpI=",0)</f>
        <v>0</v>
      </c>
      <c r="ER18" t="e">
        <f>AND(Plants!A33,"AAAAAH/oOpM=")</f>
        <v>#VALUE!</v>
      </c>
      <c r="ES18" t="e">
        <f>AND(Plants!B33,"AAAAAH/oOpQ=")</f>
        <v>#VALUE!</v>
      </c>
      <c r="ET18" t="e">
        <f>AND(Plants!C33,"AAAAAH/oOpU=")</f>
        <v>#VALUE!</v>
      </c>
      <c r="EU18" t="e">
        <f>AND(Plants!D33,"AAAAAH/oOpY=")</f>
        <v>#VALUE!</v>
      </c>
      <c r="EV18" t="e">
        <f>AND(Plants!E33,"AAAAAH/oOpc=")</f>
        <v>#VALUE!</v>
      </c>
      <c r="EW18" t="e">
        <f>AND(Plants!F33,"AAAAAH/oOpg=")</f>
        <v>#VALUE!</v>
      </c>
      <c r="EX18" t="e">
        <f>AND(Plants!G33,"AAAAAH/oOpk=")</f>
        <v>#VALUE!</v>
      </c>
      <c r="EY18" t="e">
        <f>AND(Plants!H33,"AAAAAH/oOpo=")</f>
        <v>#VALUE!</v>
      </c>
      <c r="EZ18" t="e">
        <f>AND(Plants!I33,"AAAAAH/oOps=")</f>
        <v>#VALUE!</v>
      </c>
      <c r="FA18" t="e">
        <f>AND(Plants!J33,"AAAAAH/oOpw=")</f>
        <v>#VALUE!</v>
      </c>
      <c r="FB18" t="e">
        <f>AND(Plants!K33,"AAAAAH/oOp0=")</f>
        <v>#VALUE!</v>
      </c>
      <c r="FC18" t="e">
        <f>AND(Plants!L33,"AAAAAH/oOp4=")</f>
        <v>#VALUE!</v>
      </c>
      <c r="FD18" t="e">
        <f>AND(Plants!M33,"AAAAAH/oOp8=")</f>
        <v>#VALUE!</v>
      </c>
      <c r="FE18" t="e">
        <f>AND(Plants!N33,"AAAAAH/oOqA=")</f>
        <v>#VALUE!</v>
      </c>
      <c r="FF18" t="e">
        <f>AND(Plants!O33,"AAAAAH/oOqE=")</f>
        <v>#VALUE!</v>
      </c>
      <c r="FG18" t="e">
        <f>AND(Plants!P33,"AAAAAH/oOqI=")</f>
        <v>#VALUE!</v>
      </c>
      <c r="FH18" t="e">
        <f>AND(Plants!Q33,"AAAAAH/oOqM=")</f>
        <v>#VALUE!</v>
      </c>
      <c r="FI18">
        <f>IF(Plants!34:34,"AAAAAH/oOqQ=",0)</f>
        <v>0</v>
      </c>
      <c r="FJ18" t="e">
        <f>AND(Plants!A34,"AAAAAH/oOqU=")</f>
        <v>#VALUE!</v>
      </c>
      <c r="FK18" t="e">
        <f>AND(Plants!B34,"AAAAAH/oOqY=")</f>
        <v>#VALUE!</v>
      </c>
      <c r="FL18" t="e">
        <f>AND(Plants!C34,"AAAAAH/oOqc=")</f>
        <v>#VALUE!</v>
      </c>
      <c r="FM18" t="e">
        <f>AND(Plants!D34,"AAAAAH/oOqg=")</f>
        <v>#VALUE!</v>
      </c>
      <c r="FN18" t="e">
        <f>AND(Plants!E34,"AAAAAH/oOqk=")</f>
        <v>#VALUE!</v>
      </c>
      <c r="FO18" t="e">
        <f>AND(Plants!F34,"AAAAAH/oOqo=")</f>
        <v>#VALUE!</v>
      </c>
      <c r="FP18" t="e">
        <f>AND(Plants!G34,"AAAAAH/oOqs=")</f>
        <v>#VALUE!</v>
      </c>
      <c r="FQ18" t="e">
        <f>AND(Plants!H34,"AAAAAH/oOqw=")</f>
        <v>#VALUE!</v>
      </c>
      <c r="FR18" t="e">
        <f>AND(Plants!I34,"AAAAAH/oOq0=")</f>
        <v>#VALUE!</v>
      </c>
      <c r="FS18" t="e">
        <f>AND(Plants!J34,"AAAAAH/oOq4=")</f>
        <v>#VALUE!</v>
      </c>
      <c r="FT18" t="e">
        <f>AND(Plants!K34,"AAAAAH/oOq8=")</f>
        <v>#VALUE!</v>
      </c>
      <c r="FU18" t="e">
        <f>AND(Plants!L34,"AAAAAH/oOrA=")</f>
        <v>#VALUE!</v>
      </c>
      <c r="FV18" t="e">
        <f>AND(Plants!M34,"AAAAAH/oOrE=")</f>
        <v>#VALUE!</v>
      </c>
      <c r="FW18" t="e">
        <f>AND(Plants!N34,"AAAAAH/oOrI=")</f>
        <v>#VALUE!</v>
      </c>
      <c r="FX18" t="e">
        <f>AND(Plants!O34,"AAAAAH/oOrM=")</f>
        <v>#VALUE!</v>
      </c>
      <c r="FY18" t="e">
        <f>AND(Plants!P34,"AAAAAH/oOrQ=")</f>
        <v>#VALUE!</v>
      </c>
      <c r="FZ18" t="e">
        <f>AND(Plants!Q34,"AAAAAH/oOrU=")</f>
        <v>#VALUE!</v>
      </c>
      <c r="GA18">
        <f>IF(Plants!35:35,"AAAAAH/oOrY=",0)</f>
        <v>0</v>
      </c>
      <c r="GB18" t="e">
        <f>AND(Plants!A35,"AAAAAH/oOrc=")</f>
        <v>#VALUE!</v>
      </c>
      <c r="GC18" t="e">
        <f>AND(Plants!B35,"AAAAAH/oOrg=")</f>
        <v>#VALUE!</v>
      </c>
      <c r="GD18" t="e">
        <f>AND(Plants!C35,"AAAAAH/oOrk=")</f>
        <v>#VALUE!</v>
      </c>
      <c r="GE18" t="e">
        <f>AND(Plants!D35,"AAAAAH/oOro=")</f>
        <v>#VALUE!</v>
      </c>
      <c r="GF18" t="e">
        <f>AND(Plants!E35,"AAAAAH/oOrs=")</f>
        <v>#VALUE!</v>
      </c>
      <c r="GG18" t="e">
        <f>AND(Plants!F35,"AAAAAH/oOrw=")</f>
        <v>#VALUE!</v>
      </c>
      <c r="GH18" t="e">
        <f>AND(Plants!G35,"AAAAAH/oOr0=")</f>
        <v>#VALUE!</v>
      </c>
      <c r="GI18" t="e">
        <f>AND(Plants!H35,"AAAAAH/oOr4=")</f>
        <v>#VALUE!</v>
      </c>
      <c r="GJ18" t="e">
        <f>AND(Plants!I35,"AAAAAH/oOr8=")</f>
        <v>#VALUE!</v>
      </c>
      <c r="GK18" t="e">
        <f>AND(Plants!J35,"AAAAAH/oOsA=")</f>
        <v>#VALUE!</v>
      </c>
      <c r="GL18" t="e">
        <f>AND(Plants!K35,"AAAAAH/oOsE=")</f>
        <v>#VALUE!</v>
      </c>
      <c r="GM18" t="e">
        <f>AND(Plants!L35,"AAAAAH/oOsI=")</f>
        <v>#VALUE!</v>
      </c>
      <c r="GN18" t="e">
        <f>AND(Plants!M35,"AAAAAH/oOsM=")</f>
        <v>#VALUE!</v>
      </c>
      <c r="GO18" t="e">
        <f>AND(Plants!N35,"AAAAAH/oOsQ=")</f>
        <v>#VALUE!</v>
      </c>
      <c r="GP18" t="e">
        <f>AND(Plants!O35,"AAAAAH/oOsU=")</f>
        <v>#VALUE!</v>
      </c>
      <c r="GQ18" t="e">
        <f>AND(Plants!P35,"AAAAAH/oOsY=")</f>
        <v>#VALUE!</v>
      </c>
      <c r="GR18" t="e">
        <f>AND(Plants!Q35,"AAAAAH/oOsc=")</f>
        <v>#VALUE!</v>
      </c>
      <c r="GS18">
        <f>IF(Plants!36:36,"AAAAAH/oOsg=",0)</f>
        <v>0</v>
      </c>
      <c r="GT18" t="e">
        <f>AND(Plants!A36,"AAAAAH/oOsk=")</f>
        <v>#VALUE!</v>
      </c>
      <c r="GU18" t="e">
        <f>AND(Plants!B36,"AAAAAH/oOso=")</f>
        <v>#VALUE!</v>
      </c>
      <c r="GV18" t="e">
        <f>AND(Plants!C36,"AAAAAH/oOss=")</f>
        <v>#VALUE!</v>
      </c>
      <c r="GW18" t="e">
        <f>AND(Plants!D36,"AAAAAH/oOsw=")</f>
        <v>#VALUE!</v>
      </c>
      <c r="GX18" t="e">
        <f>AND(Plants!E36,"AAAAAH/oOs0=")</f>
        <v>#VALUE!</v>
      </c>
      <c r="GY18" t="e">
        <f>AND(Plants!F36,"AAAAAH/oOs4=")</f>
        <v>#VALUE!</v>
      </c>
      <c r="GZ18" t="e">
        <f>AND(Plants!G36,"AAAAAH/oOs8=")</f>
        <v>#VALUE!</v>
      </c>
      <c r="HA18" t="e">
        <f>AND(Plants!H36,"AAAAAH/oOtA=")</f>
        <v>#VALUE!</v>
      </c>
      <c r="HB18" t="e">
        <f>AND(Plants!I36,"AAAAAH/oOtE=")</f>
        <v>#VALUE!</v>
      </c>
      <c r="HC18" t="e">
        <f>AND(Plants!J36,"AAAAAH/oOtI=")</f>
        <v>#VALUE!</v>
      </c>
      <c r="HD18" t="e">
        <f>AND(Plants!K36,"AAAAAH/oOtM=")</f>
        <v>#VALUE!</v>
      </c>
      <c r="HE18" t="e">
        <f>AND(Plants!L36,"AAAAAH/oOtQ=")</f>
        <v>#VALUE!</v>
      </c>
      <c r="HF18" t="e">
        <f>AND(Plants!M36,"AAAAAH/oOtU=")</f>
        <v>#VALUE!</v>
      </c>
      <c r="HG18" t="e">
        <f>AND(Plants!N36,"AAAAAH/oOtY=")</f>
        <v>#VALUE!</v>
      </c>
      <c r="HH18" t="e">
        <f>AND(Plants!O36,"AAAAAH/oOtc=")</f>
        <v>#VALUE!</v>
      </c>
      <c r="HI18" t="e">
        <f>AND(Plants!P36,"AAAAAH/oOtg=")</f>
        <v>#VALUE!</v>
      </c>
      <c r="HJ18" t="e">
        <f>AND(Plants!Q36,"AAAAAH/oOtk=")</f>
        <v>#VALUE!</v>
      </c>
      <c r="HK18">
        <f>IF(Plants!37:37,"AAAAAH/oOto=",0)</f>
        <v>0</v>
      </c>
      <c r="HL18" t="e">
        <f>AND(Plants!A37,"AAAAAH/oOts=")</f>
        <v>#VALUE!</v>
      </c>
      <c r="HM18" t="e">
        <f>AND(Plants!B37,"AAAAAH/oOtw=")</f>
        <v>#VALUE!</v>
      </c>
      <c r="HN18" t="e">
        <f>AND(Plants!C37,"AAAAAH/oOt0=")</f>
        <v>#VALUE!</v>
      </c>
      <c r="HO18" t="e">
        <f>AND(Plants!D37,"AAAAAH/oOt4=")</f>
        <v>#VALUE!</v>
      </c>
      <c r="HP18" t="e">
        <f>AND(Plants!E37,"AAAAAH/oOt8=")</f>
        <v>#VALUE!</v>
      </c>
      <c r="HQ18" t="e">
        <f>AND(Plants!F37,"AAAAAH/oOuA=")</f>
        <v>#VALUE!</v>
      </c>
      <c r="HR18" t="e">
        <f>AND(Plants!G37,"AAAAAH/oOuE=")</f>
        <v>#VALUE!</v>
      </c>
      <c r="HS18" t="e">
        <f>AND(Plants!H37,"AAAAAH/oOuI=")</f>
        <v>#VALUE!</v>
      </c>
      <c r="HT18" t="e">
        <f>AND(Plants!I37,"AAAAAH/oOuM=")</f>
        <v>#VALUE!</v>
      </c>
      <c r="HU18" t="e">
        <f>AND(Plants!J37,"AAAAAH/oOuQ=")</f>
        <v>#VALUE!</v>
      </c>
      <c r="HV18" t="e">
        <f>AND(Plants!K37,"AAAAAH/oOuU=")</f>
        <v>#VALUE!</v>
      </c>
      <c r="HW18" t="e">
        <f>AND(Plants!L37,"AAAAAH/oOuY=")</f>
        <v>#VALUE!</v>
      </c>
      <c r="HX18" t="e">
        <f>AND(Plants!M37,"AAAAAH/oOuc=")</f>
        <v>#VALUE!</v>
      </c>
      <c r="HY18" t="e">
        <f>AND(Plants!N37,"AAAAAH/oOug=")</f>
        <v>#VALUE!</v>
      </c>
      <c r="HZ18" t="e">
        <f>AND(Plants!O37,"AAAAAH/oOuk=")</f>
        <v>#VALUE!</v>
      </c>
      <c r="IA18" t="e">
        <f>AND(Plants!P37,"AAAAAH/oOuo=")</f>
        <v>#VALUE!</v>
      </c>
      <c r="IB18" t="e">
        <f>AND(Plants!Q37,"AAAAAH/oOus=")</f>
        <v>#VALUE!</v>
      </c>
      <c r="IC18">
        <f>IF(Plants!38:38,"AAAAAH/oOuw=",0)</f>
        <v>0</v>
      </c>
      <c r="ID18" t="e">
        <f>AND(Plants!A38,"AAAAAH/oOu0=")</f>
        <v>#VALUE!</v>
      </c>
      <c r="IE18" t="e">
        <f>AND(Plants!B38,"AAAAAH/oOu4=")</f>
        <v>#VALUE!</v>
      </c>
      <c r="IF18" t="e">
        <f>AND(Plants!C38,"AAAAAH/oOu8=")</f>
        <v>#VALUE!</v>
      </c>
      <c r="IG18" t="e">
        <f>AND(Plants!D38,"AAAAAH/oOvA=")</f>
        <v>#VALUE!</v>
      </c>
      <c r="IH18" t="e">
        <f>AND(Plants!E38,"AAAAAH/oOvE=")</f>
        <v>#VALUE!</v>
      </c>
      <c r="II18" t="e">
        <f>AND(Plants!F38,"AAAAAH/oOvI=")</f>
        <v>#VALUE!</v>
      </c>
      <c r="IJ18" t="e">
        <f>AND(Plants!G38,"AAAAAH/oOvM=")</f>
        <v>#VALUE!</v>
      </c>
      <c r="IK18" t="e">
        <f>AND(Plants!H38,"AAAAAH/oOvQ=")</f>
        <v>#VALUE!</v>
      </c>
      <c r="IL18" t="e">
        <f>AND(Plants!I38,"AAAAAH/oOvU=")</f>
        <v>#VALUE!</v>
      </c>
      <c r="IM18" t="e">
        <f>AND(Plants!J38,"AAAAAH/oOvY=")</f>
        <v>#VALUE!</v>
      </c>
      <c r="IN18" t="e">
        <f>AND(Plants!K38,"AAAAAH/oOvc=")</f>
        <v>#VALUE!</v>
      </c>
      <c r="IO18" t="e">
        <f>AND(Plants!L38,"AAAAAH/oOvg=")</f>
        <v>#VALUE!</v>
      </c>
      <c r="IP18" t="e">
        <f>AND(Plants!M38,"AAAAAH/oOvk=")</f>
        <v>#VALUE!</v>
      </c>
      <c r="IQ18" t="e">
        <f>AND(Plants!N38,"AAAAAH/oOvo=")</f>
        <v>#VALUE!</v>
      </c>
      <c r="IR18" t="e">
        <f>AND(Plants!O38,"AAAAAH/oOvs=")</f>
        <v>#VALUE!</v>
      </c>
      <c r="IS18" t="e">
        <f>AND(Plants!P38,"AAAAAH/oOvw=")</f>
        <v>#VALUE!</v>
      </c>
      <c r="IT18" t="e">
        <f>AND(Plants!Q38,"AAAAAH/oOv0=")</f>
        <v>#VALUE!</v>
      </c>
      <c r="IU18">
        <f>IF(Plants!39:39,"AAAAAH/oOv4=",0)</f>
        <v>0</v>
      </c>
      <c r="IV18" t="e">
        <f>AND(Plants!A39,"AAAAAH/oOv8=")</f>
        <v>#VALUE!</v>
      </c>
    </row>
    <row r="19" spans="1:256">
      <c r="A19" t="e">
        <f>AND(Plants!B39,"AAAAAF79+QA=")</f>
        <v>#VALUE!</v>
      </c>
      <c r="B19" t="e">
        <f>AND(Plants!C39,"AAAAAF79+QE=")</f>
        <v>#VALUE!</v>
      </c>
      <c r="C19" t="e">
        <f>AND(Plants!D39,"AAAAAF79+QI=")</f>
        <v>#VALUE!</v>
      </c>
      <c r="D19" t="e">
        <f>AND(Plants!E39,"AAAAAF79+QM=")</f>
        <v>#VALUE!</v>
      </c>
      <c r="E19" t="e">
        <f>AND(Plants!F39,"AAAAAF79+QQ=")</f>
        <v>#VALUE!</v>
      </c>
      <c r="F19" t="e">
        <f>AND(Plants!G39,"AAAAAF79+QU=")</f>
        <v>#VALUE!</v>
      </c>
      <c r="G19" t="e">
        <f>AND(Plants!H39,"AAAAAF79+QY=")</f>
        <v>#VALUE!</v>
      </c>
      <c r="H19" t="e">
        <f>AND(Plants!I39,"AAAAAF79+Qc=")</f>
        <v>#VALUE!</v>
      </c>
      <c r="I19" t="e">
        <f>AND(Plants!J39,"AAAAAF79+Qg=")</f>
        <v>#VALUE!</v>
      </c>
      <c r="J19" t="e">
        <f>AND(Plants!K39,"AAAAAF79+Qk=")</f>
        <v>#VALUE!</v>
      </c>
      <c r="K19" t="e">
        <f>AND(Plants!L39,"AAAAAF79+Qo=")</f>
        <v>#VALUE!</v>
      </c>
      <c r="L19" t="e">
        <f>AND(Plants!M39,"AAAAAF79+Qs=")</f>
        <v>#VALUE!</v>
      </c>
      <c r="M19" t="e">
        <f>AND(Plants!N39,"AAAAAF79+Qw=")</f>
        <v>#VALUE!</v>
      </c>
      <c r="N19" t="e">
        <f>AND(Plants!O39,"AAAAAF79+Q0=")</f>
        <v>#VALUE!</v>
      </c>
      <c r="O19" t="e">
        <f>AND(Plants!P39,"AAAAAF79+Q4=")</f>
        <v>#VALUE!</v>
      </c>
      <c r="P19" t="e">
        <f>AND(Plants!Q39,"AAAAAF79+Q8=")</f>
        <v>#VALUE!</v>
      </c>
      <c r="Q19">
        <f>IF(Plants!40:40,"AAAAAF79+RA=",0)</f>
        <v>0</v>
      </c>
      <c r="R19" t="e">
        <f>AND(Plants!A40,"AAAAAF79+RE=")</f>
        <v>#VALUE!</v>
      </c>
      <c r="S19" t="e">
        <f>AND(Plants!B40,"AAAAAF79+RI=")</f>
        <v>#VALUE!</v>
      </c>
      <c r="T19" t="e">
        <f>AND(Plants!C40,"AAAAAF79+RM=")</f>
        <v>#VALUE!</v>
      </c>
      <c r="U19" t="e">
        <f>AND(Plants!D40,"AAAAAF79+RQ=")</f>
        <v>#VALUE!</v>
      </c>
      <c r="V19" t="e">
        <f>AND(Plants!E40,"AAAAAF79+RU=")</f>
        <v>#VALUE!</v>
      </c>
      <c r="W19" t="e">
        <f>AND(Plants!F40,"AAAAAF79+RY=")</f>
        <v>#VALUE!</v>
      </c>
      <c r="X19" t="e">
        <f>AND(Plants!G40,"AAAAAF79+Rc=")</f>
        <v>#VALUE!</v>
      </c>
      <c r="Y19" t="e">
        <f>AND(Plants!H40,"AAAAAF79+Rg=")</f>
        <v>#VALUE!</v>
      </c>
      <c r="Z19" t="e">
        <f>AND(Plants!I40,"AAAAAF79+Rk=")</f>
        <v>#VALUE!</v>
      </c>
      <c r="AA19" t="e">
        <f>AND(Plants!J40,"AAAAAF79+Ro=")</f>
        <v>#VALUE!</v>
      </c>
      <c r="AB19" t="e">
        <f>AND(Plants!K40,"AAAAAF79+Rs=")</f>
        <v>#VALUE!</v>
      </c>
      <c r="AC19" t="e">
        <f>AND(Plants!L40,"AAAAAF79+Rw=")</f>
        <v>#VALUE!</v>
      </c>
      <c r="AD19" t="e">
        <f>AND(Plants!M40,"AAAAAF79+R0=")</f>
        <v>#VALUE!</v>
      </c>
      <c r="AE19" t="e">
        <f>AND(Plants!N40,"AAAAAF79+R4=")</f>
        <v>#VALUE!</v>
      </c>
      <c r="AF19" t="e">
        <f>AND(Plants!O40,"AAAAAF79+R8=")</f>
        <v>#VALUE!</v>
      </c>
      <c r="AG19" t="e">
        <f>AND(Plants!P40,"AAAAAF79+SA=")</f>
        <v>#VALUE!</v>
      </c>
      <c r="AH19" t="e">
        <f>AND(Plants!Q40,"AAAAAF79+SE=")</f>
        <v>#VALUE!</v>
      </c>
      <c r="AI19">
        <f>IF(Plants!41:41,"AAAAAF79+SI=",0)</f>
        <v>0</v>
      </c>
      <c r="AJ19" t="e">
        <f>AND(Plants!A41,"AAAAAF79+SM=")</f>
        <v>#VALUE!</v>
      </c>
      <c r="AK19" t="e">
        <f>AND(Plants!B41,"AAAAAF79+SQ=")</f>
        <v>#VALUE!</v>
      </c>
      <c r="AL19" t="e">
        <f>AND(Plants!C41,"AAAAAF79+SU=")</f>
        <v>#VALUE!</v>
      </c>
      <c r="AM19" t="e">
        <f>AND(Plants!D41,"AAAAAF79+SY=")</f>
        <v>#VALUE!</v>
      </c>
      <c r="AN19" t="e">
        <f>AND(Plants!E41,"AAAAAF79+Sc=")</f>
        <v>#VALUE!</v>
      </c>
      <c r="AO19" t="e">
        <f>AND(Plants!F41,"AAAAAF79+Sg=")</f>
        <v>#VALUE!</v>
      </c>
      <c r="AP19" t="e">
        <f>AND(Plants!G41,"AAAAAF79+Sk=")</f>
        <v>#VALUE!</v>
      </c>
      <c r="AQ19" t="e">
        <f>AND(Plants!H41,"AAAAAF79+So=")</f>
        <v>#VALUE!</v>
      </c>
      <c r="AR19" t="e">
        <f>AND(Plants!I41,"AAAAAF79+Ss=")</f>
        <v>#VALUE!</v>
      </c>
      <c r="AS19" t="e">
        <f>AND(Plants!J41,"AAAAAF79+Sw=")</f>
        <v>#VALUE!</v>
      </c>
      <c r="AT19" t="e">
        <f>AND(Plants!K41,"AAAAAF79+S0=")</f>
        <v>#VALUE!</v>
      </c>
      <c r="AU19" t="e">
        <f>AND(Plants!L41,"AAAAAF79+S4=")</f>
        <v>#VALUE!</v>
      </c>
      <c r="AV19" t="e">
        <f>AND(Plants!M41,"AAAAAF79+S8=")</f>
        <v>#VALUE!</v>
      </c>
      <c r="AW19" t="e">
        <f>AND(Plants!N41,"AAAAAF79+TA=")</f>
        <v>#VALUE!</v>
      </c>
      <c r="AX19" t="e">
        <f>AND(Plants!O41,"AAAAAF79+TE=")</f>
        <v>#VALUE!</v>
      </c>
      <c r="AY19" t="e">
        <f>AND(Plants!P41,"AAAAAF79+TI=")</f>
        <v>#VALUE!</v>
      </c>
      <c r="AZ19" t="e">
        <f>AND(Plants!Q41,"AAAAAF79+TM=")</f>
        <v>#VALUE!</v>
      </c>
      <c r="BA19">
        <f>IF(Plants!42:42,"AAAAAF79+TQ=",0)</f>
        <v>0</v>
      </c>
      <c r="BB19" t="e">
        <f>AND(Plants!A42,"AAAAAF79+TU=")</f>
        <v>#VALUE!</v>
      </c>
      <c r="BC19" t="e">
        <f>AND(Plants!B42,"AAAAAF79+TY=")</f>
        <v>#VALUE!</v>
      </c>
      <c r="BD19" t="e">
        <f>AND(Plants!C42,"AAAAAF79+Tc=")</f>
        <v>#VALUE!</v>
      </c>
      <c r="BE19" t="e">
        <f>AND(Plants!D42,"AAAAAF79+Tg=")</f>
        <v>#VALUE!</v>
      </c>
      <c r="BF19" t="e">
        <f>AND(Plants!E42,"AAAAAF79+Tk=")</f>
        <v>#VALUE!</v>
      </c>
      <c r="BG19" t="e">
        <f>AND(Plants!F42,"AAAAAF79+To=")</f>
        <v>#VALUE!</v>
      </c>
      <c r="BH19" t="e">
        <f>AND(Plants!G42,"AAAAAF79+Ts=")</f>
        <v>#VALUE!</v>
      </c>
      <c r="BI19" t="e">
        <f>AND(Plants!H42,"AAAAAF79+Tw=")</f>
        <v>#VALUE!</v>
      </c>
      <c r="BJ19" t="e">
        <f>AND(Plants!I42,"AAAAAF79+T0=")</f>
        <v>#VALUE!</v>
      </c>
      <c r="BK19" t="e">
        <f>AND(Plants!J42,"AAAAAF79+T4=")</f>
        <v>#VALUE!</v>
      </c>
      <c r="BL19" t="e">
        <f>AND(Plants!K42,"AAAAAF79+T8=")</f>
        <v>#VALUE!</v>
      </c>
      <c r="BM19" t="e">
        <f>AND(Plants!L42,"AAAAAF79+UA=")</f>
        <v>#VALUE!</v>
      </c>
      <c r="BN19" t="e">
        <f>AND(Plants!M42,"AAAAAF79+UE=")</f>
        <v>#VALUE!</v>
      </c>
      <c r="BO19" t="e">
        <f>AND(Plants!N42,"AAAAAF79+UI=")</f>
        <v>#VALUE!</v>
      </c>
      <c r="BP19" t="e">
        <f>AND(Plants!O42,"AAAAAF79+UM=")</f>
        <v>#VALUE!</v>
      </c>
      <c r="BQ19" t="e">
        <f>AND(Plants!P42,"AAAAAF79+UQ=")</f>
        <v>#VALUE!</v>
      </c>
      <c r="BR19" t="e">
        <f>AND(Plants!Q42,"AAAAAF79+UU=")</f>
        <v>#VALUE!</v>
      </c>
      <c r="BS19">
        <f>IF(Plants!43:43,"AAAAAF79+UY=",0)</f>
        <v>0</v>
      </c>
      <c r="BT19" t="e">
        <f>AND(Plants!A43,"AAAAAF79+Uc=")</f>
        <v>#VALUE!</v>
      </c>
      <c r="BU19" t="e">
        <f>AND(Plants!B43,"AAAAAF79+Ug=")</f>
        <v>#VALUE!</v>
      </c>
      <c r="BV19" t="e">
        <f>AND(Plants!C43,"AAAAAF79+Uk=")</f>
        <v>#VALUE!</v>
      </c>
      <c r="BW19" t="e">
        <f>AND(Plants!D43,"AAAAAF79+Uo=")</f>
        <v>#VALUE!</v>
      </c>
      <c r="BX19" t="e">
        <f>AND(Plants!E43,"AAAAAF79+Us=")</f>
        <v>#VALUE!</v>
      </c>
      <c r="BY19" t="e">
        <f>AND(Plants!F43,"AAAAAF79+Uw=")</f>
        <v>#VALUE!</v>
      </c>
      <c r="BZ19" t="e">
        <f>AND(Plants!G43,"AAAAAF79+U0=")</f>
        <v>#VALUE!</v>
      </c>
      <c r="CA19" t="e">
        <f>AND(Plants!H43,"AAAAAF79+U4=")</f>
        <v>#VALUE!</v>
      </c>
      <c r="CB19" t="e">
        <f>AND(Plants!I43,"AAAAAF79+U8=")</f>
        <v>#VALUE!</v>
      </c>
      <c r="CC19" t="e">
        <f>AND(Plants!J43,"AAAAAF79+VA=")</f>
        <v>#VALUE!</v>
      </c>
      <c r="CD19" t="e">
        <f>AND(Plants!K43,"AAAAAF79+VE=")</f>
        <v>#VALUE!</v>
      </c>
      <c r="CE19" t="e">
        <f>AND(Plants!L43,"AAAAAF79+VI=")</f>
        <v>#VALUE!</v>
      </c>
      <c r="CF19" t="e">
        <f>AND(Plants!M43,"AAAAAF79+VM=")</f>
        <v>#VALUE!</v>
      </c>
      <c r="CG19" t="e">
        <f>AND(Plants!N43,"AAAAAF79+VQ=")</f>
        <v>#VALUE!</v>
      </c>
      <c r="CH19" t="e">
        <f>AND(Plants!O43,"AAAAAF79+VU=")</f>
        <v>#VALUE!</v>
      </c>
      <c r="CI19" t="e">
        <f>AND(Plants!P43,"AAAAAF79+VY=")</f>
        <v>#VALUE!</v>
      </c>
      <c r="CJ19" t="e">
        <f>AND(Plants!Q43,"AAAAAF79+Vc=")</f>
        <v>#VALUE!</v>
      </c>
      <c r="CK19">
        <f>IF(Plants!44:44,"AAAAAF79+Vg=",0)</f>
        <v>0</v>
      </c>
      <c r="CL19" t="e">
        <f>AND(Plants!A44,"AAAAAF79+Vk=")</f>
        <v>#VALUE!</v>
      </c>
      <c r="CM19" t="e">
        <f>AND(Plants!B44,"AAAAAF79+Vo=")</f>
        <v>#VALUE!</v>
      </c>
      <c r="CN19" t="e">
        <f>AND(Plants!C44,"AAAAAF79+Vs=")</f>
        <v>#VALUE!</v>
      </c>
      <c r="CO19" t="e">
        <f>AND(Plants!D44,"AAAAAF79+Vw=")</f>
        <v>#VALUE!</v>
      </c>
      <c r="CP19" t="e">
        <f>AND(Plants!E44,"AAAAAF79+V0=")</f>
        <v>#VALUE!</v>
      </c>
      <c r="CQ19" t="e">
        <f>AND(Plants!F44,"AAAAAF79+V4=")</f>
        <v>#VALUE!</v>
      </c>
      <c r="CR19" t="e">
        <f>AND(Plants!G44,"AAAAAF79+V8=")</f>
        <v>#VALUE!</v>
      </c>
      <c r="CS19" t="e">
        <f>AND(Plants!H44,"AAAAAF79+WA=")</f>
        <v>#VALUE!</v>
      </c>
      <c r="CT19" t="e">
        <f>AND(Plants!I44,"AAAAAF79+WE=")</f>
        <v>#VALUE!</v>
      </c>
      <c r="CU19" t="e">
        <f>AND(Plants!J44,"AAAAAF79+WI=")</f>
        <v>#VALUE!</v>
      </c>
      <c r="CV19" t="e">
        <f>AND(Plants!K44,"AAAAAF79+WM=")</f>
        <v>#VALUE!</v>
      </c>
      <c r="CW19" t="e">
        <f>AND(Plants!L44,"AAAAAF79+WQ=")</f>
        <v>#VALUE!</v>
      </c>
      <c r="CX19" t="e">
        <f>AND(Plants!M44,"AAAAAF79+WU=")</f>
        <v>#VALUE!</v>
      </c>
      <c r="CY19" t="e">
        <f>AND(Plants!N44,"AAAAAF79+WY=")</f>
        <v>#VALUE!</v>
      </c>
      <c r="CZ19" t="e">
        <f>AND(Plants!O44,"AAAAAF79+Wc=")</f>
        <v>#VALUE!</v>
      </c>
      <c r="DA19" t="e">
        <f>AND(Plants!P44,"AAAAAF79+Wg=")</f>
        <v>#VALUE!</v>
      </c>
      <c r="DB19" t="e">
        <f>AND(Plants!Q44,"AAAAAF79+Wk=")</f>
        <v>#VALUE!</v>
      </c>
      <c r="DC19">
        <f>IF(Plants!45:45,"AAAAAF79+Wo=",0)</f>
        <v>0</v>
      </c>
      <c r="DD19" t="e">
        <f>AND(Plants!A45,"AAAAAF79+Ws=")</f>
        <v>#VALUE!</v>
      </c>
      <c r="DE19" t="e">
        <f>AND(Plants!B45,"AAAAAF79+Ww=")</f>
        <v>#VALUE!</v>
      </c>
      <c r="DF19" t="e">
        <f>AND(Plants!C45,"AAAAAF79+W0=")</f>
        <v>#VALUE!</v>
      </c>
      <c r="DG19" t="e">
        <f>AND(Plants!D45,"AAAAAF79+W4=")</f>
        <v>#VALUE!</v>
      </c>
      <c r="DH19" t="e">
        <f>AND(Plants!E45,"AAAAAF79+W8=")</f>
        <v>#VALUE!</v>
      </c>
      <c r="DI19" t="e">
        <f>AND(Plants!F45,"AAAAAF79+XA=")</f>
        <v>#VALUE!</v>
      </c>
      <c r="DJ19" t="e">
        <f>AND(Plants!G45,"AAAAAF79+XE=")</f>
        <v>#VALUE!</v>
      </c>
      <c r="DK19" t="e">
        <f>AND(Plants!H45,"AAAAAF79+XI=")</f>
        <v>#VALUE!</v>
      </c>
      <c r="DL19" t="e">
        <f>AND(Plants!I45,"AAAAAF79+XM=")</f>
        <v>#VALUE!</v>
      </c>
      <c r="DM19" t="e">
        <f>AND(Plants!J45,"AAAAAF79+XQ=")</f>
        <v>#VALUE!</v>
      </c>
      <c r="DN19" t="e">
        <f>AND(Plants!K45,"AAAAAF79+XU=")</f>
        <v>#VALUE!</v>
      </c>
      <c r="DO19" t="e">
        <f>AND(Plants!L45,"AAAAAF79+XY=")</f>
        <v>#VALUE!</v>
      </c>
      <c r="DP19" t="e">
        <f>AND(Plants!M45,"AAAAAF79+Xc=")</f>
        <v>#VALUE!</v>
      </c>
      <c r="DQ19" t="e">
        <f>AND(Plants!N45,"AAAAAF79+Xg=")</f>
        <v>#VALUE!</v>
      </c>
      <c r="DR19" t="e">
        <f>AND(Plants!O45,"AAAAAF79+Xk=")</f>
        <v>#VALUE!</v>
      </c>
      <c r="DS19" t="e">
        <f>AND(Plants!P45,"AAAAAF79+Xo=")</f>
        <v>#VALUE!</v>
      </c>
      <c r="DT19" t="e">
        <f>AND(Plants!Q45,"AAAAAF79+Xs=")</f>
        <v>#VALUE!</v>
      </c>
      <c r="DU19">
        <f>IF(Plants!46:46,"AAAAAF79+Xw=",0)</f>
        <v>0</v>
      </c>
      <c r="DV19" t="e">
        <f>AND(Plants!A46,"AAAAAF79+X0=")</f>
        <v>#VALUE!</v>
      </c>
      <c r="DW19" t="e">
        <f>AND(Plants!B46,"AAAAAF79+X4=")</f>
        <v>#VALUE!</v>
      </c>
      <c r="DX19" t="e">
        <f>AND(Plants!C46,"AAAAAF79+X8=")</f>
        <v>#VALUE!</v>
      </c>
      <c r="DY19" t="e">
        <f>AND(Plants!D46,"AAAAAF79+YA=")</f>
        <v>#VALUE!</v>
      </c>
      <c r="DZ19" t="e">
        <f>AND(Plants!E46,"AAAAAF79+YE=")</f>
        <v>#VALUE!</v>
      </c>
      <c r="EA19" t="e">
        <f>AND(Plants!F46,"AAAAAF79+YI=")</f>
        <v>#VALUE!</v>
      </c>
      <c r="EB19" t="e">
        <f>AND(Plants!G46,"AAAAAF79+YM=")</f>
        <v>#VALUE!</v>
      </c>
      <c r="EC19" t="e">
        <f>AND(Plants!H46,"AAAAAF79+YQ=")</f>
        <v>#VALUE!</v>
      </c>
      <c r="ED19" t="e">
        <f>AND(Plants!I46,"AAAAAF79+YU=")</f>
        <v>#VALUE!</v>
      </c>
      <c r="EE19" t="e">
        <f>AND(Plants!J46,"AAAAAF79+YY=")</f>
        <v>#VALUE!</v>
      </c>
      <c r="EF19" t="e">
        <f>AND(Plants!K46,"AAAAAF79+Yc=")</f>
        <v>#VALUE!</v>
      </c>
      <c r="EG19" t="e">
        <f>AND(Plants!L46,"AAAAAF79+Yg=")</f>
        <v>#VALUE!</v>
      </c>
      <c r="EH19" t="e">
        <f>AND(Plants!M46,"AAAAAF79+Yk=")</f>
        <v>#VALUE!</v>
      </c>
      <c r="EI19" t="e">
        <f>AND(Plants!N46,"AAAAAF79+Yo=")</f>
        <v>#VALUE!</v>
      </c>
      <c r="EJ19" t="e">
        <f>AND(Plants!O46,"AAAAAF79+Ys=")</f>
        <v>#VALUE!</v>
      </c>
      <c r="EK19" t="e">
        <f>AND(Plants!P46,"AAAAAF79+Yw=")</f>
        <v>#VALUE!</v>
      </c>
      <c r="EL19" t="e">
        <f>AND(Plants!Q46,"AAAAAF79+Y0=")</f>
        <v>#VALUE!</v>
      </c>
      <c r="EM19">
        <f>IF(Plants!47:47,"AAAAAF79+Y4=",0)</f>
        <v>0</v>
      </c>
      <c r="EN19" t="e">
        <f>AND(Plants!A47,"AAAAAF79+Y8=")</f>
        <v>#VALUE!</v>
      </c>
      <c r="EO19" t="e">
        <f>AND(Plants!B47,"AAAAAF79+ZA=")</f>
        <v>#VALUE!</v>
      </c>
      <c r="EP19" t="e">
        <f>AND(Plants!C47,"AAAAAF79+ZE=")</f>
        <v>#VALUE!</v>
      </c>
      <c r="EQ19" t="e">
        <f>AND(Plants!D47,"AAAAAF79+ZI=")</f>
        <v>#VALUE!</v>
      </c>
      <c r="ER19" t="e">
        <f>AND(Plants!E47,"AAAAAF79+ZM=")</f>
        <v>#VALUE!</v>
      </c>
      <c r="ES19" t="e">
        <f>AND(Plants!F47,"AAAAAF79+ZQ=")</f>
        <v>#VALUE!</v>
      </c>
      <c r="ET19" t="e">
        <f>AND(Plants!G47,"AAAAAF79+ZU=")</f>
        <v>#VALUE!</v>
      </c>
      <c r="EU19" t="e">
        <f>AND(Plants!H47,"AAAAAF79+ZY=")</f>
        <v>#VALUE!</v>
      </c>
      <c r="EV19" t="e">
        <f>AND(Plants!I47,"AAAAAF79+Zc=")</f>
        <v>#VALUE!</v>
      </c>
      <c r="EW19" t="e">
        <f>AND(Plants!J47,"AAAAAF79+Zg=")</f>
        <v>#VALUE!</v>
      </c>
      <c r="EX19" t="e">
        <f>AND(Plants!K47,"AAAAAF79+Zk=")</f>
        <v>#VALUE!</v>
      </c>
      <c r="EY19" t="e">
        <f>AND(Plants!L47,"AAAAAF79+Zo=")</f>
        <v>#VALUE!</v>
      </c>
      <c r="EZ19" t="e">
        <f>AND(Plants!M47,"AAAAAF79+Zs=")</f>
        <v>#VALUE!</v>
      </c>
      <c r="FA19" t="e">
        <f>AND(Plants!N47,"AAAAAF79+Zw=")</f>
        <v>#VALUE!</v>
      </c>
      <c r="FB19" t="e">
        <f>AND(Plants!O47,"AAAAAF79+Z0=")</f>
        <v>#VALUE!</v>
      </c>
      <c r="FC19" t="e">
        <f>AND(Plants!P47,"AAAAAF79+Z4=")</f>
        <v>#VALUE!</v>
      </c>
      <c r="FD19" t="e">
        <f>AND(Plants!Q47,"AAAAAF79+Z8=")</f>
        <v>#VALUE!</v>
      </c>
      <c r="FE19">
        <f>IF(Plants!48:48,"AAAAAF79+aA=",0)</f>
        <v>0</v>
      </c>
      <c r="FF19" t="e">
        <f>AND(Plants!A48,"AAAAAF79+aE=")</f>
        <v>#VALUE!</v>
      </c>
      <c r="FG19" t="e">
        <f>AND(Plants!B48,"AAAAAF79+aI=")</f>
        <v>#VALUE!</v>
      </c>
      <c r="FH19" t="e">
        <f>AND(Plants!C48,"AAAAAF79+aM=")</f>
        <v>#VALUE!</v>
      </c>
      <c r="FI19" t="e">
        <f>AND(Plants!D48,"AAAAAF79+aQ=")</f>
        <v>#VALUE!</v>
      </c>
      <c r="FJ19" t="e">
        <f>AND(Plants!E48,"AAAAAF79+aU=")</f>
        <v>#VALUE!</v>
      </c>
      <c r="FK19" t="e">
        <f>AND(Plants!F48,"AAAAAF79+aY=")</f>
        <v>#VALUE!</v>
      </c>
      <c r="FL19" t="e">
        <f>AND(Plants!G48,"AAAAAF79+ac=")</f>
        <v>#VALUE!</v>
      </c>
      <c r="FM19" t="e">
        <f>AND(Plants!H48,"AAAAAF79+ag=")</f>
        <v>#VALUE!</v>
      </c>
      <c r="FN19" t="e">
        <f>AND(Plants!I48,"AAAAAF79+ak=")</f>
        <v>#VALUE!</v>
      </c>
      <c r="FO19" t="e">
        <f>AND(Plants!J48,"AAAAAF79+ao=")</f>
        <v>#VALUE!</v>
      </c>
      <c r="FP19" t="e">
        <f>AND(Plants!K48,"AAAAAF79+as=")</f>
        <v>#VALUE!</v>
      </c>
      <c r="FQ19" t="e">
        <f>AND(Plants!L48,"AAAAAF79+aw=")</f>
        <v>#VALUE!</v>
      </c>
      <c r="FR19" t="e">
        <f>AND(Plants!M48,"AAAAAF79+a0=")</f>
        <v>#VALUE!</v>
      </c>
      <c r="FS19" t="e">
        <f>AND(Plants!N48,"AAAAAF79+a4=")</f>
        <v>#VALUE!</v>
      </c>
      <c r="FT19" t="e">
        <f>AND(Plants!O48,"AAAAAF79+a8=")</f>
        <v>#VALUE!</v>
      </c>
      <c r="FU19" t="e">
        <f>AND(Plants!P48,"AAAAAF79+bA=")</f>
        <v>#VALUE!</v>
      </c>
      <c r="FV19" t="e">
        <f>AND(Plants!Q48,"AAAAAF79+bE=")</f>
        <v>#VALUE!</v>
      </c>
      <c r="FW19">
        <f>IF(Plants!49:49,"AAAAAF79+bI=",0)</f>
        <v>0</v>
      </c>
      <c r="FX19" t="e">
        <f>AND(Plants!A49,"AAAAAF79+bM=")</f>
        <v>#VALUE!</v>
      </c>
      <c r="FY19" t="e">
        <f>AND(Plants!B49,"AAAAAF79+bQ=")</f>
        <v>#VALUE!</v>
      </c>
      <c r="FZ19" t="e">
        <f>AND(Plants!C49,"AAAAAF79+bU=")</f>
        <v>#VALUE!</v>
      </c>
      <c r="GA19" t="e">
        <f>AND(Plants!D49,"AAAAAF79+bY=")</f>
        <v>#VALUE!</v>
      </c>
      <c r="GB19" t="e">
        <f>AND(Plants!E49,"AAAAAF79+bc=")</f>
        <v>#VALUE!</v>
      </c>
      <c r="GC19" t="e">
        <f>AND(Plants!F49,"AAAAAF79+bg=")</f>
        <v>#VALUE!</v>
      </c>
      <c r="GD19" t="e">
        <f>AND(Plants!G49,"AAAAAF79+bk=")</f>
        <v>#VALUE!</v>
      </c>
      <c r="GE19" t="e">
        <f>AND(Plants!H49,"AAAAAF79+bo=")</f>
        <v>#VALUE!</v>
      </c>
      <c r="GF19" t="e">
        <f>AND(Plants!I49,"AAAAAF79+bs=")</f>
        <v>#VALUE!</v>
      </c>
      <c r="GG19" t="e">
        <f>AND(Plants!J49,"AAAAAF79+bw=")</f>
        <v>#VALUE!</v>
      </c>
      <c r="GH19" t="e">
        <f>AND(Plants!K49,"AAAAAF79+b0=")</f>
        <v>#VALUE!</v>
      </c>
      <c r="GI19" t="e">
        <f>AND(Plants!L49,"AAAAAF79+b4=")</f>
        <v>#VALUE!</v>
      </c>
      <c r="GJ19" t="e">
        <f>AND(Plants!M49,"AAAAAF79+b8=")</f>
        <v>#VALUE!</v>
      </c>
      <c r="GK19" t="e">
        <f>AND(Plants!N49,"AAAAAF79+cA=")</f>
        <v>#VALUE!</v>
      </c>
      <c r="GL19" t="e">
        <f>AND(Plants!O49,"AAAAAF79+cE=")</f>
        <v>#VALUE!</v>
      </c>
      <c r="GM19" t="e">
        <f>AND(Plants!P49,"AAAAAF79+cI=")</f>
        <v>#VALUE!</v>
      </c>
      <c r="GN19" t="e">
        <f>AND(Plants!Q49,"AAAAAF79+cM=")</f>
        <v>#VALUE!</v>
      </c>
      <c r="GO19">
        <f>IF(Plants!50:50,"AAAAAF79+cQ=",0)</f>
        <v>0</v>
      </c>
      <c r="GP19" t="e">
        <f>AND(Plants!A50,"AAAAAF79+cU=")</f>
        <v>#VALUE!</v>
      </c>
      <c r="GQ19" t="e">
        <f>AND(Plants!B50,"AAAAAF79+cY=")</f>
        <v>#VALUE!</v>
      </c>
      <c r="GR19" t="e">
        <f>AND(Plants!C50,"AAAAAF79+cc=")</f>
        <v>#VALUE!</v>
      </c>
      <c r="GS19" t="e">
        <f>AND(Plants!D50,"AAAAAF79+cg=")</f>
        <v>#VALUE!</v>
      </c>
      <c r="GT19" t="e">
        <f>AND(Plants!E50,"AAAAAF79+ck=")</f>
        <v>#VALUE!</v>
      </c>
      <c r="GU19" t="e">
        <f>AND(Plants!F50,"AAAAAF79+co=")</f>
        <v>#VALUE!</v>
      </c>
      <c r="GV19" t="e">
        <f>AND(Plants!G50,"AAAAAF79+cs=")</f>
        <v>#VALUE!</v>
      </c>
      <c r="GW19" t="e">
        <f>AND(Plants!H50,"AAAAAF79+cw=")</f>
        <v>#VALUE!</v>
      </c>
      <c r="GX19" t="e">
        <f>AND(Plants!I50,"AAAAAF79+c0=")</f>
        <v>#VALUE!</v>
      </c>
      <c r="GY19" t="e">
        <f>AND(Plants!J50,"AAAAAF79+c4=")</f>
        <v>#VALUE!</v>
      </c>
      <c r="GZ19" t="e">
        <f>AND(Plants!K50,"AAAAAF79+c8=")</f>
        <v>#VALUE!</v>
      </c>
      <c r="HA19" t="e">
        <f>AND(Plants!L50,"AAAAAF79+dA=")</f>
        <v>#VALUE!</v>
      </c>
      <c r="HB19" t="e">
        <f>AND(Plants!M50,"AAAAAF79+dE=")</f>
        <v>#VALUE!</v>
      </c>
      <c r="HC19" t="e">
        <f>AND(Plants!N50,"AAAAAF79+dI=")</f>
        <v>#VALUE!</v>
      </c>
      <c r="HD19" t="e">
        <f>AND(Plants!O50,"AAAAAF79+dM=")</f>
        <v>#VALUE!</v>
      </c>
      <c r="HE19" t="e">
        <f>AND(Plants!P50,"AAAAAF79+dQ=")</f>
        <v>#VALUE!</v>
      </c>
      <c r="HF19" t="e">
        <f>AND(Plants!Q50,"AAAAAF79+dU=")</f>
        <v>#VALUE!</v>
      </c>
      <c r="HG19">
        <f>IF(Plants!51:51,"AAAAAF79+dY=",0)</f>
        <v>0</v>
      </c>
      <c r="HH19" t="e">
        <f>AND(Plants!A51,"AAAAAF79+dc=")</f>
        <v>#VALUE!</v>
      </c>
      <c r="HI19" t="e">
        <f>AND(Plants!B51,"AAAAAF79+dg=")</f>
        <v>#VALUE!</v>
      </c>
      <c r="HJ19" t="e">
        <f>AND(Plants!C51,"AAAAAF79+dk=")</f>
        <v>#VALUE!</v>
      </c>
      <c r="HK19" t="e">
        <f>AND(Plants!D51,"AAAAAF79+do=")</f>
        <v>#VALUE!</v>
      </c>
      <c r="HL19" t="e">
        <f>AND(Plants!E51,"AAAAAF79+ds=")</f>
        <v>#VALUE!</v>
      </c>
      <c r="HM19" t="e">
        <f>AND(Plants!F51,"AAAAAF79+dw=")</f>
        <v>#VALUE!</v>
      </c>
      <c r="HN19" t="e">
        <f>AND(Plants!G51,"AAAAAF79+d0=")</f>
        <v>#VALUE!</v>
      </c>
      <c r="HO19" t="e">
        <f>AND(Plants!H51,"AAAAAF79+d4=")</f>
        <v>#VALUE!</v>
      </c>
      <c r="HP19" t="e">
        <f>AND(Plants!I51,"AAAAAF79+d8=")</f>
        <v>#VALUE!</v>
      </c>
      <c r="HQ19" t="e">
        <f>AND(Plants!J51,"AAAAAF79+eA=")</f>
        <v>#VALUE!</v>
      </c>
      <c r="HR19" t="e">
        <f>AND(Plants!K51,"AAAAAF79+eE=")</f>
        <v>#VALUE!</v>
      </c>
      <c r="HS19" t="e">
        <f>AND(Plants!L51,"AAAAAF79+eI=")</f>
        <v>#VALUE!</v>
      </c>
      <c r="HT19" t="e">
        <f>AND(Plants!M51,"AAAAAF79+eM=")</f>
        <v>#VALUE!</v>
      </c>
      <c r="HU19" t="e">
        <f>AND(Plants!N51,"AAAAAF79+eQ=")</f>
        <v>#VALUE!</v>
      </c>
      <c r="HV19" t="e">
        <f>AND(Plants!O51,"AAAAAF79+eU=")</f>
        <v>#VALUE!</v>
      </c>
      <c r="HW19" t="e">
        <f>AND(Plants!P51,"AAAAAF79+eY=")</f>
        <v>#VALUE!</v>
      </c>
      <c r="HX19" t="e">
        <f>AND(Plants!Q51,"AAAAAF79+ec=")</f>
        <v>#VALUE!</v>
      </c>
      <c r="HY19">
        <f>IF(Plants!52:52,"AAAAAF79+eg=",0)</f>
        <v>0</v>
      </c>
      <c r="HZ19" t="e">
        <f>AND(Plants!A52,"AAAAAF79+ek=")</f>
        <v>#VALUE!</v>
      </c>
      <c r="IA19" t="e">
        <f>AND(Plants!B52,"AAAAAF79+eo=")</f>
        <v>#VALUE!</v>
      </c>
      <c r="IB19" t="e">
        <f>AND(Plants!C52,"AAAAAF79+es=")</f>
        <v>#VALUE!</v>
      </c>
      <c r="IC19" t="e">
        <f>AND(Plants!D52,"AAAAAF79+ew=")</f>
        <v>#VALUE!</v>
      </c>
      <c r="ID19" t="e">
        <f>AND(Plants!E52,"AAAAAF79+e0=")</f>
        <v>#VALUE!</v>
      </c>
      <c r="IE19" t="e">
        <f>AND(Plants!F52,"AAAAAF79+e4=")</f>
        <v>#VALUE!</v>
      </c>
      <c r="IF19" t="e">
        <f>AND(Plants!G52,"AAAAAF79+e8=")</f>
        <v>#VALUE!</v>
      </c>
      <c r="IG19" t="e">
        <f>AND(Plants!H52,"AAAAAF79+fA=")</f>
        <v>#VALUE!</v>
      </c>
      <c r="IH19" t="e">
        <f>AND(Plants!I52,"AAAAAF79+fE=")</f>
        <v>#VALUE!</v>
      </c>
      <c r="II19" t="e">
        <f>AND(Plants!J52,"AAAAAF79+fI=")</f>
        <v>#VALUE!</v>
      </c>
      <c r="IJ19" t="e">
        <f>AND(Plants!K52,"AAAAAF79+fM=")</f>
        <v>#VALUE!</v>
      </c>
      <c r="IK19" t="e">
        <f>AND(Plants!L52,"AAAAAF79+fQ=")</f>
        <v>#VALUE!</v>
      </c>
      <c r="IL19" t="e">
        <f>AND(Plants!M52,"AAAAAF79+fU=")</f>
        <v>#VALUE!</v>
      </c>
      <c r="IM19" t="e">
        <f>AND(Plants!N52,"AAAAAF79+fY=")</f>
        <v>#VALUE!</v>
      </c>
      <c r="IN19" t="e">
        <f>AND(Plants!O52,"AAAAAF79+fc=")</f>
        <v>#VALUE!</v>
      </c>
      <c r="IO19" t="e">
        <f>AND(Plants!P52,"AAAAAF79+fg=")</f>
        <v>#VALUE!</v>
      </c>
      <c r="IP19" t="e">
        <f>AND(Plants!Q52,"AAAAAF79+fk=")</f>
        <v>#VALUE!</v>
      </c>
      <c r="IQ19">
        <f>IF(Plants!53:53,"AAAAAF79+fo=",0)</f>
        <v>0</v>
      </c>
      <c r="IR19" t="e">
        <f>AND(Plants!A53,"AAAAAF79+fs=")</f>
        <v>#VALUE!</v>
      </c>
      <c r="IS19" t="e">
        <f>AND(Plants!B53,"AAAAAF79+fw=")</f>
        <v>#VALUE!</v>
      </c>
      <c r="IT19" t="e">
        <f>AND(Plants!C53,"AAAAAF79+f0=")</f>
        <v>#VALUE!</v>
      </c>
      <c r="IU19" t="e">
        <f>AND(Plants!D53,"AAAAAF79+f4=")</f>
        <v>#VALUE!</v>
      </c>
      <c r="IV19" t="e">
        <f>AND(Plants!E53,"AAAAAF79+f8=")</f>
        <v>#VALUE!</v>
      </c>
    </row>
    <row r="20" spans="1:256">
      <c r="A20" t="e">
        <f>AND(Plants!F53,"AAAAAH/99wA=")</f>
        <v>#VALUE!</v>
      </c>
      <c r="B20" t="e">
        <f>AND(Plants!G53,"AAAAAH/99wE=")</f>
        <v>#VALUE!</v>
      </c>
      <c r="C20" t="e">
        <f>AND(Plants!H53,"AAAAAH/99wI=")</f>
        <v>#VALUE!</v>
      </c>
      <c r="D20" t="e">
        <f>AND(Plants!I53,"AAAAAH/99wM=")</f>
        <v>#VALUE!</v>
      </c>
      <c r="E20" t="e">
        <f>AND(Plants!J53,"AAAAAH/99wQ=")</f>
        <v>#VALUE!</v>
      </c>
      <c r="F20" t="e">
        <f>AND(Plants!K53,"AAAAAH/99wU=")</f>
        <v>#VALUE!</v>
      </c>
      <c r="G20" t="e">
        <f>AND(Plants!L53,"AAAAAH/99wY=")</f>
        <v>#VALUE!</v>
      </c>
      <c r="H20" t="e">
        <f>AND(Plants!M53,"AAAAAH/99wc=")</f>
        <v>#VALUE!</v>
      </c>
      <c r="I20" t="e">
        <f>AND(Plants!N53,"AAAAAH/99wg=")</f>
        <v>#VALUE!</v>
      </c>
      <c r="J20" t="e">
        <f>AND(Plants!O53,"AAAAAH/99wk=")</f>
        <v>#VALUE!</v>
      </c>
      <c r="K20" t="e">
        <f>AND(Plants!P53,"AAAAAH/99wo=")</f>
        <v>#VALUE!</v>
      </c>
      <c r="L20" t="e">
        <f>AND(Plants!Q53,"AAAAAH/99ws=")</f>
        <v>#VALUE!</v>
      </c>
      <c r="M20">
        <f>IF(Plants!54:54,"AAAAAH/99ww=",0)</f>
        <v>0</v>
      </c>
      <c r="N20" t="e">
        <f>AND(Plants!A54,"AAAAAH/99w0=")</f>
        <v>#VALUE!</v>
      </c>
      <c r="O20" t="e">
        <f>AND(Plants!B54,"AAAAAH/99w4=")</f>
        <v>#VALUE!</v>
      </c>
      <c r="P20" t="e">
        <f>AND(Plants!C54,"AAAAAH/99w8=")</f>
        <v>#VALUE!</v>
      </c>
      <c r="Q20" t="e">
        <f>AND(Plants!D54,"AAAAAH/99xA=")</f>
        <v>#VALUE!</v>
      </c>
      <c r="R20" t="e">
        <f>AND(Plants!E54,"AAAAAH/99xE=")</f>
        <v>#VALUE!</v>
      </c>
      <c r="S20" t="e">
        <f>AND(Plants!F54,"AAAAAH/99xI=")</f>
        <v>#VALUE!</v>
      </c>
      <c r="T20" t="e">
        <f>AND(Plants!G54,"AAAAAH/99xM=")</f>
        <v>#VALUE!</v>
      </c>
      <c r="U20" t="e">
        <f>AND(Plants!H54,"AAAAAH/99xQ=")</f>
        <v>#VALUE!</v>
      </c>
      <c r="V20" t="e">
        <f>AND(Plants!I54,"AAAAAH/99xU=")</f>
        <v>#VALUE!</v>
      </c>
      <c r="W20" t="e">
        <f>AND(Plants!J54,"AAAAAH/99xY=")</f>
        <v>#VALUE!</v>
      </c>
      <c r="X20" t="e">
        <f>AND(Plants!K54,"AAAAAH/99xc=")</f>
        <v>#VALUE!</v>
      </c>
      <c r="Y20" t="e">
        <f>AND(Plants!L54,"AAAAAH/99xg=")</f>
        <v>#VALUE!</v>
      </c>
      <c r="Z20" t="e">
        <f>AND(Plants!M54,"AAAAAH/99xk=")</f>
        <v>#VALUE!</v>
      </c>
      <c r="AA20" t="e">
        <f>AND(Plants!N54,"AAAAAH/99xo=")</f>
        <v>#VALUE!</v>
      </c>
      <c r="AB20" t="e">
        <f>AND(Plants!O54,"AAAAAH/99xs=")</f>
        <v>#VALUE!</v>
      </c>
      <c r="AC20" t="e">
        <f>AND(Plants!P54,"AAAAAH/99xw=")</f>
        <v>#VALUE!</v>
      </c>
      <c r="AD20" t="e">
        <f>AND(Plants!Q54,"AAAAAH/99x0=")</f>
        <v>#VALUE!</v>
      </c>
      <c r="AE20">
        <f>IF(Plants!55:55,"AAAAAH/99x4=",0)</f>
        <v>0</v>
      </c>
      <c r="AF20" t="e">
        <f>AND(Plants!A55,"AAAAAH/99x8=")</f>
        <v>#VALUE!</v>
      </c>
      <c r="AG20" t="e">
        <f>AND(Plants!B55,"AAAAAH/99yA=")</f>
        <v>#VALUE!</v>
      </c>
      <c r="AH20" t="e">
        <f>AND(Plants!C55,"AAAAAH/99yE=")</f>
        <v>#VALUE!</v>
      </c>
      <c r="AI20" t="e">
        <f>AND(Plants!D55,"AAAAAH/99yI=")</f>
        <v>#VALUE!</v>
      </c>
      <c r="AJ20" t="e">
        <f>AND(Plants!E55,"AAAAAH/99yM=")</f>
        <v>#VALUE!</v>
      </c>
      <c r="AK20" t="e">
        <f>AND(Plants!F55,"AAAAAH/99yQ=")</f>
        <v>#VALUE!</v>
      </c>
      <c r="AL20" t="e">
        <f>AND(Plants!G55,"AAAAAH/99yU=")</f>
        <v>#VALUE!</v>
      </c>
      <c r="AM20" t="e">
        <f>AND(Plants!H55,"AAAAAH/99yY=")</f>
        <v>#VALUE!</v>
      </c>
      <c r="AN20" t="e">
        <f>AND(Plants!I55,"AAAAAH/99yc=")</f>
        <v>#VALUE!</v>
      </c>
      <c r="AO20" t="e">
        <f>AND(Plants!J55,"AAAAAH/99yg=")</f>
        <v>#VALUE!</v>
      </c>
      <c r="AP20" t="e">
        <f>AND(Plants!K55,"AAAAAH/99yk=")</f>
        <v>#VALUE!</v>
      </c>
      <c r="AQ20" t="e">
        <f>AND(Plants!L55,"AAAAAH/99yo=")</f>
        <v>#VALUE!</v>
      </c>
      <c r="AR20" t="e">
        <f>AND(Plants!M55,"AAAAAH/99ys=")</f>
        <v>#VALUE!</v>
      </c>
      <c r="AS20" t="e">
        <f>AND(Plants!N55,"AAAAAH/99yw=")</f>
        <v>#VALUE!</v>
      </c>
      <c r="AT20" t="e">
        <f>AND(Plants!O55,"AAAAAH/99y0=")</f>
        <v>#VALUE!</v>
      </c>
      <c r="AU20" t="e">
        <f>AND(Plants!P55,"AAAAAH/99y4=")</f>
        <v>#VALUE!</v>
      </c>
      <c r="AV20" t="e">
        <f>AND(Plants!Q55,"AAAAAH/99y8=")</f>
        <v>#VALUE!</v>
      </c>
      <c r="AW20">
        <f>IF(Plants!56:56,"AAAAAH/99zA=",0)</f>
        <v>0</v>
      </c>
      <c r="AX20" t="e">
        <f>AND(Plants!A56,"AAAAAH/99zE=")</f>
        <v>#VALUE!</v>
      </c>
      <c r="AY20" t="e">
        <f>AND(Plants!B56,"AAAAAH/99zI=")</f>
        <v>#VALUE!</v>
      </c>
      <c r="AZ20" t="e">
        <f>AND(Plants!C56,"AAAAAH/99zM=")</f>
        <v>#VALUE!</v>
      </c>
      <c r="BA20" t="e">
        <f>AND(Plants!D56,"AAAAAH/99zQ=")</f>
        <v>#VALUE!</v>
      </c>
      <c r="BB20" t="e">
        <f>AND(Plants!E56,"AAAAAH/99zU=")</f>
        <v>#VALUE!</v>
      </c>
      <c r="BC20" t="e">
        <f>AND(Plants!F56,"AAAAAH/99zY=")</f>
        <v>#VALUE!</v>
      </c>
      <c r="BD20" t="e">
        <f>AND(Plants!G56,"AAAAAH/99zc=")</f>
        <v>#VALUE!</v>
      </c>
      <c r="BE20" t="e">
        <f>AND(Plants!H56,"AAAAAH/99zg=")</f>
        <v>#VALUE!</v>
      </c>
      <c r="BF20" t="e">
        <f>AND(Plants!I56,"AAAAAH/99zk=")</f>
        <v>#VALUE!</v>
      </c>
      <c r="BG20" t="e">
        <f>AND(Plants!J56,"AAAAAH/99zo=")</f>
        <v>#VALUE!</v>
      </c>
      <c r="BH20" t="e">
        <f>AND(Plants!K56,"AAAAAH/99zs=")</f>
        <v>#VALUE!</v>
      </c>
      <c r="BI20" t="e">
        <f>AND(Plants!L56,"AAAAAH/99zw=")</f>
        <v>#VALUE!</v>
      </c>
      <c r="BJ20" t="e">
        <f>AND(Plants!M56,"AAAAAH/99z0=")</f>
        <v>#VALUE!</v>
      </c>
      <c r="BK20" t="e">
        <f>AND(Plants!N56,"AAAAAH/99z4=")</f>
        <v>#VALUE!</v>
      </c>
      <c r="BL20" t="e">
        <f>AND(Plants!O56,"AAAAAH/99z8=")</f>
        <v>#VALUE!</v>
      </c>
      <c r="BM20" t="e">
        <f>AND(Plants!P56,"AAAAAH/990A=")</f>
        <v>#VALUE!</v>
      </c>
      <c r="BN20" t="e">
        <f>AND(Plants!Q56,"AAAAAH/990E=")</f>
        <v>#VALUE!</v>
      </c>
      <c r="BO20">
        <f>IF(Plants!57:57,"AAAAAH/990I=",0)</f>
        <v>0</v>
      </c>
      <c r="BP20" t="e">
        <f>AND(Plants!A57,"AAAAAH/990M=")</f>
        <v>#VALUE!</v>
      </c>
      <c r="BQ20" t="e">
        <f>AND(Plants!B57,"AAAAAH/990Q=")</f>
        <v>#VALUE!</v>
      </c>
      <c r="BR20" t="e">
        <f>AND(Plants!C57,"AAAAAH/990U=")</f>
        <v>#VALUE!</v>
      </c>
      <c r="BS20" t="e">
        <f>AND(Plants!D57,"AAAAAH/990Y=")</f>
        <v>#VALUE!</v>
      </c>
      <c r="BT20" t="e">
        <f>AND(Plants!E57,"AAAAAH/990c=")</f>
        <v>#VALUE!</v>
      </c>
      <c r="BU20" t="e">
        <f>AND(Plants!F57,"AAAAAH/990g=")</f>
        <v>#VALUE!</v>
      </c>
      <c r="BV20" t="e">
        <f>AND(Plants!G57,"AAAAAH/990k=")</f>
        <v>#VALUE!</v>
      </c>
      <c r="BW20" t="e">
        <f>AND(Plants!H57,"AAAAAH/990o=")</f>
        <v>#VALUE!</v>
      </c>
      <c r="BX20" t="e">
        <f>AND(Plants!I57,"AAAAAH/990s=")</f>
        <v>#VALUE!</v>
      </c>
      <c r="BY20" t="e">
        <f>AND(Plants!J57,"AAAAAH/990w=")</f>
        <v>#VALUE!</v>
      </c>
      <c r="BZ20" t="e">
        <f>AND(Plants!K57,"AAAAAH/9900=")</f>
        <v>#VALUE!</v>
      </c>
      <c r="CA20" t="e">
        <f>AND(Plants!L57,"AAAAAH/9904=")</f>
        <v>#VALUE!</v>
      </c>
      <c r="CB20" t="e">
        <f>AND(Plants!M57,"AAAAAH/9908=")</f>
        <v>#VALUE!</v>
      </c>
      <c r="CC20" t="e">
        <f>AND(Plants!N57,"AAAAAH/991A=")</f>
        <v>#VALUE!</v>
      </c>
      <c r="CD20" t="e">
        <f>AND(Plants!O57,"AAAAAH/991E=")</f>
        <v>#VALUE!</v>
      </c>
      <c r="CE20" t="e">
        <f>AND(Plants!P57,"AAAAAH/991I=")</f>
        <v>#VALUE!</v>
      </c>
      <c r="CF20" t="e">
        <f>AND(Plants!Q57,"AAAAAH/991M=")</f>
        <v>#VALUE!</v>
      </c>
      <c r="CG20">
        <f>IF(Plants!58:58,"AAAAAH/991Q=",0)</f>
        <v>0</v>
      </c>
      <c r="CH20" t="e">
        <f>AND(Plants!A58,"AAAAAH/991U=")</f>
        <v>#VALUE!</v>
      </c>
      <c r="CI20" t="e">
        <f>AND(Plants!B58,"AAAAAH/991Y=")</f>
        <v>#VALUE!</v>
      </c>
      <c r="CJ20" t="e">
        <f>AND(Plants!C58,"AAAAAH/991c=")</f>
        <v>#VALUE!</v>
      </c>
      <c r="CK20" t="e">
        <f>AND(Plants!D58,"AAAAAH/991g=")</f>
        <v>#VALUE!</v>
      </c>
      <c r="CL20" t="e">
        <f>AND(Plants!E58,"AAAAAH/991k=")</f>
        <v>#VALUE!</v>
      </c>
      <c r="CM20" t="e">
        <f>AND(Plants!F58,"AAAAAH/991o=")</f>
        <v>#VALUE!</v>
      </c>
      <c r="CN20" t="e">
        <f>AND(Plants!G58,"AAAAAH/991s=")</f>
        <v>#VALUE!</v>
      </c>
      <c r="CO20" t="e">
        <f>AND(Plants!H58,"AAAAAH/991w=")</f>
        <v>#VALUE!</v>
      </c>
      <c r="CP20" t="e">
        <f>AND(Plants!I58,"AAAAAH/9910=")</f>
        <v>#VALUE!</v>
      </c>
      <c r="CQ20" t="e">
        <f>AND(Plants!J58,"AAAAAH/9914=")</f>
        <v>#VALUE!</v>
      </c>
      <c r="CR20" t="e">
        <f>AND(Plants!K58,"AAAAAH/9918=")</f>
        <v>#VALUE!</v>
      </c>
      <c r="CS20" t="e">
        <f>AND(Plants!L58,"AAAAAH/992A=")</f>
        <v>#VALUE!</v>
      </c>
      <c r="CT20" t="e">
        <f>AND(Plants!M58,"AAAAAH/992E=")</f>
        <v>#VALUE!</v>
      </c>
      <c r="CU20" t="e">
        <f>AND(Plants!N58,"AAAAAH/992I=")</f>
        <v>#VALUE!</v>
      </c>
      <c r="CV20" t="e">
        <f>AND(Plants!O58,"AAAAAH/992M=")</f>
        <v>#VALUE!</v>
      </c>
      <c r="CW20" t="e">
        <f>AND(Plants!P58,"AAAAAH/992Q=")</f>
        <v>#VALUE!</v>
      </c>
      <c r="CX20" t="e">
        <f>AND(Plants!Q58,"AAAAAH/992U=")</f>
        <v>#VALUE!</v>
      </c>
      <c r="CY20">
        <f>IF(Plants!59:59,"AAAAAH/992Y=",0)</f>
        <v>0</v>
      </c>
      <c r="CZ20" t="e">
        <f>AND(Plants!A59,"AAAAAH/992c=")</f>
        <v>#VALUE!</v>
      </c>
      <c r="DA20" t="e">
        <f>AND(Plants!B59,"AAAAAH/992g=")</f>
        <v>#VALUE!</v>
      </c>
      <c r="DB20" t="e">
        <f>AND(Plants!C59,"AAAAAH/992k=")</f>
        <v>#VALUE!</v>
      </c>
      <c r="DC20" t="e">
        <f>AND(Plants!D59,"AAAAAH/992o=")</f>
        <v>#VALUE!</v>
      </c>
      <c r="DD20" t="e">
        <f>AND(Plants!E59,"AAAAAH/992s=")</f>
        <v>#VALUE!</v>
      </c>
      <c r="DE20" t="e">
        <f>AND(Plants!F59,"AAAAAH/992w=")</f>
        <v>#VALUE!</v>
      </c>
      <c r="DF20" t="e">
        <f>AND(Plants!G59,"AAAAAH/9920=")</f>
        <v>#VALUE!</v>
      </c>
      <c r="DG20" t="e">
        <f>AND(Plants!H59,"AAAAAH/9924=")</f>
        <v>#VALUE!</v>
      </c>
      <c r="DH20" t="e">
        <f>AND(Plants!I59,"AAAAAH/9928=")</f>
        <v>#VALUE!</v>
      </c>
      <c r="DI20" t="e">
        <f>AND(Plants!J59,"AAAAAH/993A=")</f>
        <v>#VALUE!</v>
      </c>
      <c r="DJ20" t="e">
        <f>AND(Plants!K59,"AAAAAH/993E=")</f>
        <v>#VALUE!</v>
      </c>
      <c r="DK20" t="e">
        <f>AND(Plants!L59,"AAAAAH/993I=")</f>
        <v>#VALUE!</v>
      </c>
      <c r="DL20" t="e">
        <f>AND(Plants!M59,"AAAAAH/993M=")</f>
        <v>#VALUE!</v>
      </c>
      <c r="DM20" t="e">
        <f>AND(Plants!N59,"AAAAAH/993Q=")</f>
        <v>#VALUE!</v>
      </c>
      <c r="DN20" t="e">
        <f>AND(Plants!O59,"AAAAAH/993U=")</f>
        <v>#VALUE!</v>
      </c>
      <c r="DO20" t="e">
        <f>AND(Plants!P59,"AAAAAH/993Y=")</f>
        <v>#VALUE!</v>
      </c>
      <c r="DP20" t="e">
        <f>AND(Plants!Q59,"AAAAAH/993c=")</f>
        <v>#VALUE!</v>
      </c>
      <c r="DQ20">
        <f>IF(Plants!60:60,"AAAAAH/993g=",0)</f>
        <v>0</v>
      </c>
      <c r="DR20" t="e">
        <f>AND(Plants!A60,"AAAAAH/993k=")</f>
        <v>#VALUE!</v>
      </c>
      <c r="DS20" t="e">
        <f>AND(Plants!B60,"AAAAAH/993o=")</f>
        <v>#VALUE!</v>
      </c>
      <c r="DT20" t="e">
        <f>AND(Plants!C60,"AAAAAH/993s=")</f>
        <v>#VALUE!</v>
      </c>
      <c r="DU20" t="e">
        <f>AND(Plants!D60,"AAAAAH/993w=")</f>
        <v>#VALUE!</v>
      </c>
      <c r="DV20" t="e">
        <f>AND(Plants!E60,"AAAAAH/9930=")</f>
        <v>#VALUE!</v>
      </c>
      <c r="DW20" t="e">
        <f>AND(Plants!F60,"AAAAAH/9934=")</f>
        <v>#VALUE!</v>
      </c>
      <c r="DX20" t="e">
        <f>AND(Plants!G60,"AAAAAH/9938=")</f>
        <v>#VALUE!</v>
      </c>
      <c r="DY20" t="e">
        <f>AND(Plants!H60,"AAAAAH/994A=")</f>
        <v>#VALUE!</v>
      </c>
      <c r="DZ20" t="e">
        <f>AND(Plants!I60,"AAAAAH/994E=")</f>
        <v>#VALUE!</v>
      </c>
      <c r="EA20" t="e">
        <f>AND(Plants!J60,"AAAAAH/994I=")</f>
        <v>#VALUE!</v>
      </c>
      <c r="EB20" t="e">
        <f>AND(Plants!K60,"AAAAAH/994M=")</f>
        <v>#VALUE!</v>
      </c>
      <c r="EC20" t="e">
        <f>AND(Plants!L60,"AAAAAH/994Q=")</f>
        <v>#VALUE!</v>
      </c>
      <c r="ED20" t="e">
        <f>AND(Plants!M60,"AAAAAH/994U=")</f>
        <v>#VALUE!</v>
      </c>
      <c r="EE20" t="e">
        <f>AND(Plants!N60,"AAAAAH/994Y=")</f>
        <v>#VALUE!</v>
      </c>
      <c r="EF20" t="e">
        <f>AND(Plants!O60,"AAAAAH/994c=")</f>
        <v>#VALUE!</v>
      </c>
      <c r="EG20" t="e">
        <f>AND(Plants!P60,"AAAAAH/994g=")</f>
        <v>#VALUE!</v>
      </c>
      <c r="EH20" t="e">
        <f>AND(Plants!Q60,"AAAAAH/994k=")</f>
        <v>#VALUE!</v>
      </c>
      <c r="EI20">
        <f>IF(Plants!61:61,"AAAAAH/994o=",0)</f>
        <v>0</v>
      </c>
      <c r="EJ20" t="e">
        <f>AND(Plants!A61,"AAAAAH/994s=")</f>
        <v>#VALUE!</v>
      </c>
      <c r="EK20" t="e">
        <f>AND(Plants!B61,"AAAAAH/994w=")</f>
        <v>#VALUE!</v>
      </c>
      <c r="EL20" t="e">
        <f>AND(Plants!C61,"AAAAAH/9940=")</f>
        <v>#VALUE!</v>
      </c>
      <c r="EM20" t="e">
        <f>AND(Plants!D61,"AAAAAH/9944=")</f>
        <v>#VALUE!</v>
      </c>
      <c r="EN20" t="e">
        <f>AND(Plants!E61,"AAAAAH/9948=")</f>
        <v>#VALUE!</v>
      </c>
      <c r="EO20" t="e">
        <f>AND(Plants!F61,"AAAAAH/995A=")</f>
        <v>#VALUE!</v>
      </c>
      <c r="EP20" t="e">
        <f>AND(Plants!G61,"AAAAAH/995E=")</f>
        <v>#VALUE!</v>
      </c>
      <c r="EQ20" t="e">
        <f>AND(Plants!H61,"AAAAAH/995I=")</f>
        <v>#VALUE!</v>
      </c>
      <c r="ER20" t="e">
        <f>AND(Plants!I61,"AAAAAH/995M=")</f>
        <v>#VALUE!</v>
      </c>
      <c r="ES20" t="e">
        <f>AND(Plants!J61,"AAAAAH/995Q=")</f>
        <v>#VALUE!</v>
      </c>
      <c r="ET20" t="e">
        <f>AND(Plants!K61,"AAAAAH/995U=")</f>
        <v>#VALUE!</v>
      </c>
      <c r="EU20" t="e">
        <f>AND(Plants!L61,"AAAAAH/995Y=")</f>
        <v>#VALUE!</v>
      </c>
      <c r="EV20" t="e">
        <f>AND(Plants!M61,"AAAAAH/995c=")</f>
        <v>#VALUE!</v>
      </c>
      <c r="EW20" t="e">
        <f>AND(Plants!N61,"AAAAAH/995g=")</f>
        <v>#VALUE!</v>
      </c>
      <c r="EX20" t="e">
        <f>AND(Plants!O61,"AAAAAH/995k=")</f>
        <v>#VALUE!</v>
      </c>
      <c r="EY20" t="e">
        <f>AND(Plants!P61,"AAAAAH/995o=")</f>
        <v>#VALUE!</v>
      </c>
      <c r="EZ20" t="e">
        <f>AND(Plants!Q61,"AAAAAH/995s=")</f>
        <v>#VALUE!</v>
      </c>
      <c r="FA20">
        <f>IF(Plants!62:62,"AAAAAH/995w=",0)</f>
        <v>0</v>
      </c>
      <c r="FB20" t="e">
        <f>AND(Plants!A62,"AAAAAH/9950=")</f>
        <v>#VALUE!</v>
      </c>
      <c r="FC20" t="e">
        <f>AND(Plants!B62,"AAAAAH/9954=")</f>
        <v>#VALUE!</v>
      </c>
      <c r="FD20" t="e">
        <f>AND(Plants!C62,"AAAAAH/9958=")</f>
        <v>#VALUE!</v>
      </c>
      <c r="FE20" t="e">
        <f>AND(Plants!D62,"AAAAAH/996A=")</f>
        <v>#VALUE!</v>
      </c>
      <c r="FF20" t="e">
        <f>AND(Plants!E62,"AAAAAH/996E=")</f>
        <v>#VALUE!</v>
      </c>
      <c r="FG20" t="e">
        <f>AND(Plants!F62,"AAAAAH/996I=")</f>
        <v>#VALUE!</v>
      </c>
      <c r="FH20" t="e">
        <f>AND(Plants!G62,"AAAAAH/996M=")</f>
        <v>#VALUE!</v>
      </c>
      <c r="FI20" t="e">
        <f>AND(Plants!H62,"AAAAAH/996Q=")</f>
        <v>#VALUE!</v>
      </c>
      <c r="FJ20" t="e">
        <f>AND(Plants!I62,"AAAAAH/996U=")</f>
        <v>#VALUE!</v>
      </c>
      <c r="FK20" t="e">
        <f>AND(Plants!J62,"AAAAAH/996Y=")</f>
        <v>#VALUE!</v>
      </c>
      <c r="FL20" t="e">
        <f>AND(Plants!K62,"AAAAAH/996c=")</f>
        <v>#VALUE!</v>
      </c>
      <c r="FM20" t="e">
        <f>AND(Plants!L62,"AAAAAH/996g=")</f>
        <v>#VALUE!</v>
      </c>
      <c r="FN20" t="e">
        <f>AND(Plants!M62,"AAAAAH/996k=")</f>
        <v>#VALUE!</v>
      </c>
      <c r="FO20" t="e">
        <f>AND(Plants!N62,"AAAAAH/996o=")</f>
        <v>#VALUE!</v>
      </c>
      <c r="FP20" t="e">
        <f>AND(Plants!O62,"AAAAAH/996s=")</f>
        <v>#VALUE!</v>
      </c>
      <c r="FQ20" t="e">
        <f>AND(Plants!P62,"AAAAAH/996w=")</f>
        <v>#VALUE!</v>
      </c>
      <c r="FR20" t="e">
        <f>AND(Plants!Q62,"AAAAAH/9960=")</f>
        <v>#VALUE!</v>
      </c>
      <c r="FS20">
        <f>IF(Plants!63:63,"AAAAAH/9964=",0)</f>
        <v>0</v>
      </c>
      <c r="FT20" t="e">
        <f>AND(Plants!A63,"AAAAAH/9968=")</f>
        <v>#VALUE!</v>
      </c>
      <c r="FU20" t="e">
        <f>AND(Plants!B63,"AAAAAH/997A=")</f>
        <v>#VALUE!</v>
      </c>
      <c r="FV20" t="e">
        <f>AND(Plants!C63,"AAAAAH/997E=")</f>
        <v>#VALUE!</v>
      </c>
      <c r="FW20" t="e">
        <f>AND(Plants!D63,"AAAAAH/997I=")</f>
        <v>#VALUE!</v>
      </c>
      <c r="FX20" t="e">
        <f>AND(Plants!E63,"AAAAAH/997M=")</f>
        <v>#VALUE!</v>
      </c>
      <c r="FY20" t="e">
        <f>AND(Plants!F63,"AAAAAH/997Q=")</f>
        <v>#VALUE!</v>
      </c>
      <c r="FZ20" t="e">
        <f>AND(Plants!G63,"AAAAAH/997U=")</f>
        <v>#VALUE!</v>
      </c>
      <c r="GA20" t="e">
        <f>AND(Plants!H63,"AAAAAH/997Y=")</f>
        <v>#VALUE!</v>
      </c>
      <c r="GB20" t="e">
        <f>AND(Plants!I63,"AAAAAH/997c=")</f>
        <v>#VALUE!</v>
      </c>
      <c r="GC20" t="e">
        <f>AND(Plants!J63,"AAAAAH/997g=")</f>
        <v>#VALUE!</v>
      </c>
      <c r="GD20" t="e">
        <f>AND(Plants!K63,"AAAAAH/997k=")</f>
        <v>#VALUE!</v>
      </c>
      <c r="GE20" t="e">
        <f>AND(Plants!L63,"AAAAAH/997o=")</f>
        <v>#VALUE!</v>
      </c>
      <c r="GF20" t="e">
        <f>AND(Plants!M63,"AAAAAH/997s=")</f>
        <v>#VALUE!</v>
      </c>
      <c r="GG20" t="e">
        <f>AND(Plants!N63,"AAAAAH/997w=")</f>
        <v>#VALUE!</v>
      </c>
      <c r="GH20" t="e">
        <f>AND(Plants!O63,"AAAAAH/9970=")</f>
        <v>#VALUE!</v>
      </c>
      <c r="GI20" t="e">
        <f>AND(Plants!P63,"AAAAAH/9974=")</f>
        <v>#VALUE!</v>
      </c>
      <c r="GJ20" t="e">
        <f>AND(Plants!Q63,"AAAAAH/9978=")</f>
        <v>#VALUE!</v>
      </c>
      <c r="GK20">
        <f>IF(Plants!64:64,"AAAAAH/998A=",0)</f>
        <v>0</v>
      </c>
      <c r="GL20" t="e">
        <f>AND(Plants!A64,"AAAAAH/998E=")</f>
        <v>#VALUE!</v>
      </c>
      <c r="GM20" t="e">
        <f>AND(Plants!B64,"AAAAAH/998I=")</f>
        <v>#VALUE!</v>
      </c>
      <c r="GN20" t="e">
        <f>AND(Plants!C64,"AAAAAH/998M=")</f>
        <v>#VALUE!</v>
      </c>
      <c r="GO20" t="e">
        <f>AND(Plants!D64,"AAAAAH/998Q=")</f>
        <v>#VALUE!</v>
      </c>
      <c r="GP20" t="e">
        <f>AND(Plants!E64,"AAAAAH/998U=")</f>
        <v>#VALUE!</v>
      </c>
      <c r="GQ20" t="e">
        <f>AND(Plants!F64,"AAAAAH/998Y=")</f>
        <v>#VALUE!</v>
      </c>
      <c r="GR20" t="e">
        <f>AND(Plants!G64,"AAAAAH/998c=")</f>
        <v>#VALUE!</v>
      </c>
      <c r="GS20" t="e">
        <f>AND(Plants!H64,"AAAAAH/998g=")</f>
        <v>#VALUE!</v>
      </c>
      <c r="GT20" t="e">
        <f>AND(Plants!I64,"AAAAAH/998k=")</f>
        <v>#VALUE!</v>
      </c>
      <c r="GU20" t="e">
        <f>AND(Plants!J64,"AAAAAH/998o=")</f>
        <v>#VALUE!</v>
      </c>
      <c r="GV20" t="e">
        <f>AND(Plants!K64,"AAAAAH/998s=")</f>
        <v>#VALUE!</v>
      </c>
      <c r="GW20" t="e">
        <f>AND(Plants!L64,"AAAAAH/998w=")</f>
        <v>#VALUE!</v>
      </c>
      <c r="GX20" t="e">
        <f>AND(Plants!M64,"AAAAAH/9980=")</f>
        <v>#VALUE!</v>
      </c>
      <c r="GY20" t="e">
        <f>AND(Plants!N64,"AAAAAH/9984=")</f>
        <v>#VALUE!</v>
      </c>
      <c r="GZ20" t="e">
        <f>AND(Plants!O64,"AAAAAH/9988=")</f>
        <v>#VALUE!</v>
      </c>
      <c r="HA20" t="e">
        <f>AND(Plants!P64,"AAAAAH/999A=")</f>
        <v>#VALUE!</v>
      </c>
      <c r="HB20" t="e">
        <f>AND(Plants!Q64,"AAAAAH/999E=")</f>
        <v>#VALUE!</v>
      </c>
      <c r="HC20">
        <f>IF(Plants!65:65,"AAAAAH/999I=",0)</f>
        <v>0</v>
      </c>
      <c r="HD20" t="e">
        <f>AND(Plants!A65,"AAAAAH/999M=")</f>
        <v>#VALUE!</v>
      </c>
      <c r="HE20" t="e">
        <f>AND(Plants!B65,"AAAAAH/999Q=")</f>
        <v>#VALUE!</v>
      </c>
      <c r="HF20" t="e">
        <f>AND(Plants!C65,"AAAAAH/999U=")</f>
        <v>#VALUE!</v>
      </c>
      <c r="HG20" t="e">
        <f>AND(Plants!D65,"AAAAAH/999Y=")</f>
        <v>#VALUE!</v>
      </c>
      <c r="HH20" t="e">
        <f>AND(Plants!E65,"AAAAAH/999c=")</f>
        <v>#VALUE!</v>
      </c>
      <c r="HI20" t="e">
        <f>AND(Plants!F65,"AAAAAH/999g=")</f>
        <v>#VALUE!</v>
      </c>
      <c r="HJ20" t="e">
        <f>AND(Plants!G65,"AAAAAH/999k=")</f>
        <v>#VALUE!</v>
      </c>
      <c r="HK20" t="e">
        <f>AND(Plants!H65,"AAAAAH/999o=")</f>
        <v>#VALUE!</v>
      </c>
      <c r="HL20" t="e">
        <f>AND(Plants!I65,"AAAAAH/999s=")</f>
        <v>#VALUE!</v>
      </c>
      <c r="HM20" t="e">
        <f>AND(Plants!J65,"AAAAAH/999w=")</f>
        <v>#VALUE!</v>
      </c>
      <c r="HN20" t="e">
        <f>AND(Plants!K65,"AAAAAH/9990=")</f>
        <v>#VALUE!</v>
      </c>
      <c r="HO20" t="e">
        <f>AND(Plants!L65,"AAAAAH/9994=")</f>
        <v>#VALUE!</v>
      </c>
      <c r="HP20" t="e">
        <f>AND(Plants!M65,"AAAAAH/9998=")</f>
        <v>#VALUE!</v>
      </c>
      <c r="HQ20" t="e">
        <f>AND(Plants!N65,"AAAAAH/99+A=")</f>
        <v>#VALUE!</v>
      </c>
      <c r="HR20" t="e">
        <f>AND(Plants!O65,"AAAAAH/99+E=")</f>
        <v>#VALUE!</v>
      </c>
      <c r="HS20" t="e">
        <f>AND(Plants!P65,"AAAAAH/99+I=")</f>
        <v>#VALUE!</v>
      </c>
      <c r="HT20" t="e">
        <f>AND(Plants!Q65,"AAAAAH/99+M=")</f>
        <v>#VALUE!</v>
      </c>
      <c r="HU20">
        <f>IF(Plants!66:66,"AAAAAH/99+Q=",0)</f>
        <v>0</v>
      </c>
      <c r="HV20" t="e">
        <f>AND(Plants!A66,"AAAAAH/99+U=")</f>
        <v>#VALUE!</v>
      </c>
      <c r="HW20" t="e">
        <f>AND(Plants!B66,"AAAAAH/99+Y=")</f>
        <v>#VALUE!</v>
      </c>
      <c r="HX20" t="e">
        <f>AND(Plants!C66,"AAAAAH/99+c=")</f>
        <v>#VALUE!</v>
      </c>
      <c r="HY20" t="e">
        <f>AND(Plants!D66,"AAAAAH/99+g=")</f>
        <v>#VALUE!</v>
      </c>
      <c r="HZ20" t="e">
        <f>AND(Plants!E66,"AAAAAH/99+k=")</f>
        <v>#VALUE!</v>
      </c>
      <c r="IA20" t="e">
        <f>AND(Plants!F66,"AAAAAH/99+o=")</f>
        <v>#VALUE!</v>
      </c>
      <c r="IB20" t="e">
        <f>AND(Plants!G66,"AAAAAH/99+s=")</f>
        <v>#VALUE!</v>
      </c>
      <c r="IC20" t="e">
        <f>AND(Plants!H66,"AAAAAH/99+w=")</f>
        <v>#VALUE!</v>
      </c>
      <c r="ID20" t="e">
        <f>AND(Plants!I66,"AAAAAH/99+0=")</f>
        <v>#VALUE!</v>
      </c>
      <c r="IE20" t="e">
        <f>AND(Plants!J66,"AAAAAH/99+4=")</f>
        <v>#VALUE!</v>
      </c>
      <c r="IF20" t="e">
        <f>AND(Plants!K66,"AAAAAH/99+8=")</f>
        <v>#VALUE!</v>
      </c>
      <c r="IG20" t="e">
        <f>AND(Plants!L66,"AAAAAH/99/A=")</f>
        <v>#VALUE!</v>
      </c>
      <c r="IH20" t="e">
        <f>AND(Plants!M66,"AAAAAH/99/E=")</f>
        <v>#VALUE!</v>
      </c>
      <c r="II20" t="e">
        <f>AND(Plants!N66,"AAAAAH/99/I=")</f>
        <v>#VALUE!</v>
      </c>
      <c r="IJ20" t="e">
        <f>AND(Plants!O66,"AAAAAH/99/M=")</f>
        <v>#VALUE!</v>
      </c>
      <c r="IK20" t="e">
        <f>AND(Plants!P66,"AAAAAH/99/Q=")</f>
        <v>#VALUE!</v>
      </c>
      <c r="IL20" t="e">
        <f>AND(Plants!Q66,"AAAAAH/99/U=")</f>
        <v>#VALUE!</v>
      </c>
      <c r="IM20">
        <f>IF(Plants!67:67,"AAAAAH/99/Y=",0)</f>
        <v>0</v>
      </c>
      <c r="IN20" t="e">
        <f>AND(Plants!A67,"AAAAAH/99/c=")</f>
        <v>#VALUE!</v>
      </c>
      <c r="IO20" t="e">
        <f>AND(Plants!B67,"AAAAAH/99/g=")</f>
        <v>#VALUE!</v>
      </c>
      <c r="IP20" t="e">
        <f>AND(Plants!C67,"AAAAAH/99/k=")</f>
        <v>#VALUE!</v>
      </c>
      <c r="IQ20" t="e">
        <f>AND(Plants!D67,"AAAAAH/99/o=")</f>
        <v>#VALUE!</v>
      </c>
      <c r="IR20" t="e">
        <f>AND(Plants!E67,"AAAAAH/99/s=")</f>
        <v>#VALUE!</v>
      </c>
      <c r="IS20" t="e">
        <f>AND(Plants!F67,"AAAAAH/99/w=")</f>
        <v>#VALUE!</v>
      </c>
      <c r="IT20" t="e">
        <f>AND(Plants!G67,"AAAAAH/99/0=")</f>
        <v>#VALUE!</v>
      </c>
      <c r="IU20" t="e">
        <f>AND(Plants!H67,"AAAAAH/99/4=")</f>
        <v>#VALUE!</v>
      </c>
      <c r="IV20" t="e">
        <f>AND(Plants!I67,"AAAAAH/99/8=")</f>
        <v>#VALUE!</v>
      </c>
    </row>
    <row r="21" spans="1:256">
      <c r="A21" t="e">
        <f>AND(Plants!J67,"AAAAAE18/AA=")</f>
        <v>#VALUE!</v>
      </c>
      <c r="B21" t="e">
        <f>AND(Plants!K67,"AAAAAE18/AE=")</f>
        <v>#VALUE!</v>
      </c>
      <c r="C21" t="e">
        <f>AND(Plants!L67,"AAAAAE18/AI=")</f>
        <v>#VALUE!</v>
      </c>
      <c r="D21" t="e">
        <f>AND(Plants!M67,"AAAAAE18/AM=")</f>
        <v>#VALUE!</v>
      </c>
      <c r="E21" t="e">
        <f>AND(Plants!N67,"AAAAAE18/AQ=")</f>
        <v>#VALUE!</v>
      </c>
      <c r="F21" t="e">
        <f>AND(Plants!O67,"AAAAAE18/AU=")</f>
        <v>#VALUE!</v>
      </c>
      <c r="G21" t="e">
        <f>AND(Plants!P67,"AAAAAE18/AY=")</f>
        <v>#VALUE!</v>
      </c>
      <c r="H21" t="e">
        <f>AND(Plants!Q67,"AAAAAE18/Ac=")</f>
        <v>#VALUE!</v>
      </c>
      <c r="I21">
        <f>IF(Plants!68:68,"AAAAAE18/Ag=",0)</f>
        <v>0</v>
      </c>
      <c r="J21" t="e">
        <f>AND(Plants!A68,"AAAAAE18/Ak=")</f>
        <v>#VALUE!</v>
      </c>
      <c r="K21" t="e">
        <f>AND(Plants!B68,"AAAAAE18/Ao=")</f>
        <v>#VALUE!</v>
      </c>
      <c r="L21" t="e">
        <f>AND(Plants!C68,"AAAAAE18/As=")</f>
        <v>#VALUE!</v>
      </c>
      <c r="M21" t="e">
        <f>AND(Plants!D68,"AAAAAE18/Aw=")</f>
        <v>#VALUE!</v>
      </c>
      <c r="N21" t="e">
        <f>AND(Plants!E68,"AAAAAE18/A0=")</f>
        <v>#VALUE!</v>
      </c>
      <c r="O21" t="e">
        <f>AND(Plants!F68,"AAAAAE18/A4=")</f>
        <v>#VALUE!</v>
      </c>
      <c r="P21" t="e">
        <f>AND(Plants!G68,"AAAAAE18/A8=")</f>
        <v>#VALUE!</v>
      </c>
      <c r="Q21" t="e">
        <f>AND(Plants!H68,"AAAAAE18/BA=")</f>
        <v>#VALUE!</v>
      </c>
      <c r="R21" t="e">
        <f>AND(Plants!I68,"AAAAAE18/BE=")</f>
        <v>#VALUE!</v>
      </c>
      <c r="S21" t="e">
        <f>AND(Plants!J68,"AAAAAE18/BI=")</f>
        <v>#VALUE!</v>
      </c>
      <c r="T21" t="e">
        <f>AND(Plants!K68,"AAAAAE18/BM=")</f>
        <v>#VALUE!</v>
      </c>
      <c r="U21" t="e">
        <f>AND(Plants!L68,"AAAAAE18/BQ=")</f>
        <v>#VALUE!</v>
      </c>
      <c r="V21" t="e">
        <f>AND(Plants!M68,"AAAAAE18/BU=")</f>
        <v>#VALUE!</v>
      </c>
      <c r="W21" t="e">
        <f>AND(Plants!N68,"AAAAAE18/BY=")</f>
        <v>#VALUE!</v>
      </c>
      <c r="X21" t="e">
        <f>AND(Plants!O68,"AAAAAE18/Bc=")</f>
        <v>#VALUE!</v>
      </c>
      <c r="Y21" t="e">
        <f>AND(Plants!P68,"AAAAAE18/Bg=")</f>
        <v>#VALUE!</v>
      </c>
      <c r="Z21" t="e">
        <f>AND(Plants!Q68,"AAAAAE18/Bk=")</f>
        <v>#VALUE!</v>
      </c>
      <c r="AA21">
        <f>IF(Plants!69:69,"AAAAAE18/Bo=",0)</f>
        <v>0</v>
      </c>
      <c r="AB21" t="e">
        <f>AND(Plants!A69,"AAAAAE18/Bs=")</f>
        <v>#VALUE!</v>
      </c>
      <c r="AC21" t="e">
        <f>AND(Plants!B69,"AAAAAE18/Bw=")</f>
        <v>#VALUE!</v>
      </c>
      <c r="AD21" t="e">
        <f>AND(Plants!C69,"AAAAAE18/B0=")</f>
        <v>#VALUE!</v>
      </c>
      <c r="AE21" t="e">
        <f>AND(Plants!D69,"AAAAAE18/B4=")</f>
        <v>#VALUE!</v>
      </c>
      <c r="AF21" t="e">
        <f>AND(Plants!E69,"AAAAAE18/B8=")</f>
        <v>#VALUE!</v>
      </c>
      <c r="AG21" t="e">
        <f>AND(Plants!F69,"AAAAAE18/CA=")</f>
        <v>#VALUE!</v>
      </c>
      <c r="AH21" t="e">
        <f>AND(Plants!G69,"AAAAAE18/CE=")</f>
        <v>#VALUE!</v>
      </c>
      <c r="AI21" t="e">
        <f>AND(Plants!H69,"AAAAAE18/CI=")</f>
        <v>#VALUE!</v>
      </c>
      <c r="AJ21" t="e">
        <f>AND(Plants!I69,"AAAAAE18/CM=")</f>
        <v>#VALUE!</v>
      </c>
      <c r="AK21" t="e">
        <f>AND(Plants!J69,"AAAAAE18/CQ=")</f>
        <v>#VALUE!</v>
      </c>
      <c r="AL21" t="e">
        <f>AND(Plants!K69,"AAAAAE18/CU=")</f>
        <v>#VALUE!</v>
      </c>
      <c r="AM21" t="e">
        <f>AND(Plants!L69,"AAAAAE18/CY=")</f>
        <v>#VALUE!</v>
      </c>
      <c r="AN21" t="e">
        <f>AND(Plants!M69,"AAAAAE18/Cc=")</f>
        <v>#VALUE!</v>
      </c>
      <c r="AO21" t="e">
        <f>AND(Plants!N69,"AAAAAE18/Cg=")</f>
        <v>#VALUE!</v>
      </c>
      <c r="AP21" t="e">
        <f>AND(Plants!O69,"AAAAAE18/Ck=")</f>
        <v>#VALUE!</v>
      </c>
      <c r="AQ21" t="e">
        <f>AND(Plants!P69,"AAAAAE18/Co=")</f>
        <v>#VALUE!</v>
      </c>
      <c r="AR21" t="e">
        <f>AND(Plants!Q69,"AAAAAE18/Cs=")</f>
        <v>#VALUE!</v>
      </c>
      <c r="AS21">
        <f>IF(Plants!70:70,"AAAAAE18/Cw=",0)</f>
        <v>0</v>
      </c>
      <c r="AT21" t="e">
        <f>AND(Plants!A70,"AAAAAE18/C0=")</f>
        <v>#VALUE!</v>
      </c>
      <c r="AU21" t="e">
        <f>AND(Plants!B70,"AAAAAE18/C4=")</f>
        <v>#VALUE!</v>
      </c>
      <c r="AV21" t="e">
        <f>AND(Plants!C70,"AAAAAE18/C8=")</f>
        <v>#VALUE!</v>
      </c>
      <c r="AW21" t="e">
        <f>AND(Plants!D70,"AAAAAE18/DA=")</f>
        <v>#VALUE!</v>
      </c>
      <c r="AX21" t="e">
        <f>AND(Plants!E70,"AAAAAE18/DE=")</f>
        <v>#VALUE!</v>
      </c>
      <c r="AY21" t="e">
        <f>AND(Plants!F70,"AAAAAE18/DI=")</f>
        <v>#VALUE!</v>
      </c>
      <c r="AZ21" t="e">
        <f>AND(Plants!G70,"AAAAAE18/DM=")</f>
        <v>#VALUE!</v>
      </c>
      <c r="BA21" t="e">
        <f>AND(Plants!H70,"AAAAAE18/DQ=")</f>
        <v>#VALUE!</v>
      </c>
      <c r="BB21" t="e">
        <f>AND(Plants!I70,"AAAAAE18/DU=")</f>
        <v>#VALUE!</v>
      </c>
      <c r="BC21" t="e">
        <f>AND(Plants!J70,"AAAAAE18/DY=")</f>
        <v>#VALUE!</v>
      </c>
      <c r="BD21" t="e">
        <f>AND(Plants!K70,"AAAAAE18/Dc=")</f>
        <v>#VALUE!</v>
      </c>
      <c r="BE21" t="e">
        <f>AND(Plants!L70,"AAAAAE18/Dg=")</f>
        <v>#VALUE!</v>
      </c>
      <c r="BF21" t="e">
        <f>AND(Plants!M70,"AAAAAE18/Dk=")</f>
        <v>#VALUE!</v>
      </c>
      <c r="BG21" t="e">
        <f>AND(Plants!N70,"AAAAAE18/Do=")</f>
        <v>#VALUE!</v>
      </c>
      <c r="BH21" t="e">
        <f>AND(Plants!O70,"AAAAAE18/Ds=")</f>
        <v>#VALUE!</v>
      </c>
      <c r="BI21" t="e">
        <f>AND(Plants!P70,"AAAAAE18/Dw=")</f>
        <v>#VALUE!</v>
      </c>
      <c r="BJ21" t="e">
        <f>AND(Plants!Q70,"AAAAAE18/D0=")</f>
        <v>#VALUE!</v>
      </c>
      <c r="BK21">
        <f>IF(Plants!71:71,"AAAAAE18/D4=",0)</f>
        <v>0</v>
      </c>
      <c r="BL21" t="e">
        <f>AND(Plants!A71,"AAAAAE18/D8=")</f>
        <v>#VALUE!</v>
      </c>
      <c r="BM21" t="e">
        <f>AND(Plants!B71,"AAAAAE18/EA=")</f>
        <v>#VALUE!</v>
      </c>
      <c r="BN21" t="e">
        <f>AND(Plants!C71,"AAAAAE18/EE=")</f>
        <v>#VALUE!</v>
      </c>
      <c r="BO21" t="e">
        <f>AND(Plants!D71,"AAAAAE18/EI=")</f>
        <v>#VALUE!</v>
      </c>
      <c r="BP21" t="e">
        <f>AND(Plants!E71,"AAAAAE18/EM=")</f>
        <v>#VALUE!</v>
      </c>
      <c r="BQ21" t="e">
        <f>AND(Plants!F71,"AAAAAE18/EQ=")</f>
        <v>#VALUE!</v>
      </c>
      <c r="BR21" t="e">
        <f>AND(Plants!G71,"AAAAAE18/EU=")</f>
        <v>#VALUE!</v>
      </c>
      <c r="BS21" t="e">
        <f>AND(Plants!H71,"AAAAAE18/EY=")</f>
        <v>#VALUE!</v>
      </c>
      <c r="BT21" t="e">
        <f>AND(Plants!I71,"AAAAAE18/Ec=")</f>
        <v>#VALUE!</v>
      </c>
      <c r="BU21" t="e">
        <f>AND(Plants!J71,"AAAAAE18/Eg=")</f>
        <v>#VALUE!</v>
      </c>
      <c r="BV21" t="e">
        <f>AND(Plants!K71,"AAAAAE18/Ek=")</f>
        <v>#VALUE!</v>
      </c>
      <c r="BW21" t="e">
        <f>AND(Plants!L71,"AAAAAE18/Eo=")</f>
        <v>#VALUE!</v>
      </c>
      <c r="BX21" t="e">
        <f>AND(Plants!M71,"AAAAAE18/Es=")</f>
        <v>#VALUE!</v>
      </c>
      <c r="BY21" t="e">
        <f>AND(Plants!N71,"AAAAAE18/Ew=")</f>
        <v>#VALUE!</v>
      </c>
      <c r="BZ21" t="e">
        <f>AND(Plants!O71,"AAAAAE18/E0=")</f>
        <v>#VALUE!</v>
      </c>
      <c r="CA21" t="e">
        <f>AND(Plants!P71,"AAAAAE18/E4=")</f>
        <v>#VALUE!</v>
      </c>
      <c r="CB21" t="e">
        <f>AND(Plants!Q71,"AAAAAE18/E8=")</f>
        <v>#VALUE!</v>
      </c>
      <c r="CC21">
        <f>IF(Plants!72:72,"AAAAAE18/FA=",0)</f>
        <v>0</v>
      </c>
      <c r="CD21" t="e">
        <f>AND(Plants!A72,"AAAAAE18/FE=")</f>
        <v>#VALUE!</v>
      </c>
      <c r="CE21" t="e">
        <f>AND(Plants!B72,"AAAAAE18/FI=")</f>
        <v>#VALUE!</v>
      </c>
      <c r="CF21" t="e">
        <f>AND(Plants!C72,"AAAAAE18/FM=")</f>
        <v>#VALUE!</v>
      </c>
      <c r="CG21" t="e">
        <f>AND(Plants!D72,"AAAAAE18/FQ=")</f>
        <v>#VALUE!</v>
      </c>
      <c r="CH21" t="e">
        <f>AND(Plants!E72,"AAAAAE18/FU=")</f>
        <v>#VALUE!</v>
      </c>
      <c r="CI21" t="e">
        <f>AND(Plants!F72,"AAAAAE18/FY=")</f>
        <v>#VALUE!</v>
      </c>
      <c r="CJ21" t="e">
        <f>AND(Plants!G72,"AAAAAE18/Fc=")</f>
        <v>#VALUE!</v>
      </c>
      <c r="CK21" t="e">
        <f>AND(Plants!H72,"AAAAAE18/Fg=")</f>
        <v>#VALUE!</v>
      </c>
      <c r="CL21" t="e">
        <f>AND(Plants!I72,"AAAAAE18/Fk=")</f>
        <v>#VALUE!</v>
      </c>
      <c r="CM21" t="e">
        <f>AND(Plants!J72,"AAAAAE18/Fo=")</f>
        <v>#VALUE!</v>
      </c>
      <c r="CN21" t="e">
        <f>AND(Plants!K72,"AAAAAE18/Fs=")</f>
        <v>#VALUE!</v>
      </c>
      <c r="CO21" t="e">
        <f>AND(Plants!L72,"AAAAAE18/Fw=")</f>
        <v>#VALUE!</v>
      </c>
      <c r="CP21" t="e">
        <f>AND(Plants!M72,"AAAAAE18/F0=")</f>
        <v>#VALUE!</v>
      </c>
      <c r="CQ21" t="e">
        <f>AND(Plants!N72,"AAAAAE18/F4=")</f>
        <v>#VALUE!</v>
      </c>
      <c r="CR21" t="e">
        <f>AND(Plants!O72,"AAAAAE18/F8=")</f>
        <v>#VALUE!</v>
      </c>
      <c r="CS21" t="e">
        <f>AND(Plants!P72,"AAAAAE18/GA=")</f>
        <v>#VALUE!</v>
      </c>
      <c r="CT21" t="e">
        <f>AND(Plants!Q72,"AAAAAE18/GE=")</f>
        <v>#VALUE!</v>
      </c>
      <c r="CU21">
        <f>IF(Plants!73:73,"AAAAAE18/GI=",0)</f>
        <v>0</v>
      </c>
      <c r="CV21" t="e">
        <f>AND(Plants!A73,"AAAAAE18/GM=")</f>
        <v>#VALUE!</v>
      </c>
      <c r="CW21" t="e">
        <f>AND(Plants!B73,"AAAAAE18/GQ=")</f>
        <v>#VALUE!</v>
      </c>
      <c r="CX21" t="e">
        <f>AND(Plants!C73,"AAAAAE18/GU=")</f>
        <v>#VALUE!</v>
      </c>
      <c r="CY21" t="e">
        <f>AND(Plants!D73,"AAAAAE18/GY=")</f>
        <v>#VALUE!</v>
      </c>
      <c r="CZ21" t="e">
        <f>AND(Plants!E73,"AAAAAE18/Gc=")</f>
        <v>#VALUE!</v>
      </c>
      <c r="DA21" t="e">
        <f>AND(Plants!F73,"AAAAAE18/Gg=")</f>
        <v>#VALUE!</v>
      </c>
      <c r="DB21" t="e">
        <f>AND(Plants!G73,"AAAAAE18/Gk=")</f>
        <v>#VALUE!</v>
      </c>
      <c r="DC21" t="e">
        <f>AND(Plants!H73,"AAAAAE18/Go=")</f>
        <v>#VALUE!</v>
      </c>
      <c r="DD21" t="e">
        <f>AND(Plants!I73,"AAAAAE18/Gs=")</f>
        <v>#VALUE!</v>
      </c>
      <c r="DE21" t="e">
        <f>AND(Plants!J73,"AAAAAE18/Gw=")</f>
        <v>#VALUE!</v>
      </c>
      <c r="DF21" t="e">
        <f>AND(Plants!K73,"AAAAAE18/G0=")</f>
        <v>#VALUE!</v>
      </c>
      <c r="DG21" t="e">
        <f>AND(Plants!L73,"AAAAAE18/G4=")</f>
        <v>#VALUE!</v>
      </c>
      <c r="DH21" t="e">
        <f>AND(Plants!M73,"AAAAAE18/G8=")</f>
        <v>#VALUE!</v>
      </c>
      <c r="DI21" t="e">
        <f>AND(Plants!N73,"AAAAAE18/HA=")</f>
        <v>#VALUE!</v>
      </c>
      <c r="DJ21" t="e">
        <f>AND(Plants!O73,"AAAAAE18/HE=")</f>
        <v>#VALUE!</v>
      </c>
      <c r="DK21" t="e">
        <f>AND(Plants!P73,"AAAAAE18/HI=")</f>
        <v>#VALUE!</v>
      </c>
      <c r="DL21" t="e">
        <f>AND(Plants!Q73,"AAAAAE18/HM=")</f>
        <v>#VALUE!</v>
      </c>
      <c r="DM21">
        <f>IF(Plants!74:74,"AAAAAE18/HQ=",0)</f>
        <v>0</v>
      </c>
      <c r="DN21" t="e">
        <f>AND(Plants!A74,"AAAAAE18/HU=")</f>
        <v>#VALUE!</v>
      </c>
      <c r="DO21" t="e">
        <f>AND(Plants!B74,"AAAAAE18/HY=")</f>
        <v>#VALUE!</v>
      </c>
      <c r="DP21" t="e">
        <f>AND(Plants!C74,"AAAAAE18/Hc=")</f>
        <v>#VALUE!</v>
      </c>
      <c r="DQ21" t="e">
        <f>AND(Plants!D74,"AAAAAE18/Hg=")</f>
        <v>#VALUE!</v>
      </c>
      <c r="DR21" t="e">
        <f>AND(Plants!E74,"AAAAAE18/Hk=")</f>
        <v>#VALUE!</v>
      </c>
      <c r="DS21" t="e">
        <f>AND(Plants!F74,"AAAAAE18/Ho=")</f>
        <v>#VALUE!</v>
      </c>
      <c r="DT21" t="e">
        <f>AND(Plants!G74,"AAAAAE18/Hs=")</f>
        <v>#VALUE!</v>
      </c>
      <c r="DU21" t="e">
        <f>AND(Plants!H74,"AAAAAE18/Hw=")</f>
        <v>#VALUE!</v>
      </c>
      <c r="DV21" t="e">
        <f>AND(Plants!I74,"AAAAAE18/H0=")</f>
        <v>#VALUE!</v>
      </c>
      <c r="DW21" t="e">
        <f>AND(Plants!J74,"AAAAAE18/H4=")</f>
        <v>#VALUE!</v>
      </c>
      <c r="DX21" t="e">
        <f>AND(Plants!K74,"AAAAAE18/H8=")</f>
        <v>#VALUE!</v>
      </c>
      <c r="DY21" t="e">
        <f>AND(Plants!L74,"AAAAAE18/IA=")</f>
        <v>#VALUE!</v>
      </c>
      <c r="DZ21" t="e">
        <f>AND(Plants!M74,"AAAAAE18/IE=")</f>
        <v>#VALUE!</v>
      </c>
      <c r="EA21" t="e">
        <f>AND(Plants!N74,"AAAAAE18/II=")</f>
        <v>#VALUE!</v>
      </c>
      <c r="EB21" t="e">
        <f>AND(Plants!O74,"AAAAAE18/IM=")</f>
        <v>#VALUE!</v>
      </c>
      <c r="EC21" t="e">
        <f>AND(Plants!P74,"AAAAAE18/IQ=")</f>
        <v>#VALUE!</v>
      </c>
      <c r="ED21" t="e">
        <f>AND(Plants!Q74,"AAAAAE18/IU=")</f>
        <v>#VALUE!</v>
      </c>
      <c r="EE21">
        <f>IF(Plants!75:75,"AAAAAE18/IY=",0)</f>
        <v>0</v>
      </c>
      <c r="EF21" t="e">
        <f>AND(Plants!A75,"AAAAAE18/Ic=")</f>
        <v>#VALUE!</v>
      </c>
      <c r="EG21" t="e">
        <f>AND(Plants!B75,"AAAAAE18/Ig=")</f>
        <v>#VALUE!</v>
      </c>
      <c r="EH21" t="e">
        <f>AND(Plants!C75,"AAAAAE18/Ik=")</f>
        <v>#VALUE!</v>
      </c>
      <c r="EI21" t="e">
        <f>AND(Plants!D75,"AAAAAE18/Io=")</f>
        <v>#VALUE!</v>
      </c>
      <c r="EJ21" t="e">
        <f>AND(Plants!E75,"AAAAAE18/Is=")</f>
        <v>#VALUE!</v>
      </c>
      <c r="EK21" t="e">
        <f>AND(Plants!F75,"AAAAAE18/Iw=")</f>
        <v>#VALUE!</v>
      </c>
      <c r="EL21" t="e">
        <f>AND(Plants!G75,"AAAAAE18/I0=")</f>
        <v>#VALUE!</v>
      </c>
      <c r="EM21" t="e">
        <f>AND(Plants!H75,"AAAAAE18/I4=")</f>
        <v>#VALUE!</v>
      </c>
      <c r="EN21" t="e">
        <f>AND(Plants!I75,"AAAAAE18/I8=")</f>
        <v>#VALUE!</v>
      </c>
      <c r="EO21" t="e">
        <f>AND(Plants!J75,"AAAAAE18/JA=")</f>
        <v>#VALUE!</v>
      </c>
      <c r="EP21" t="e">
        <f>AND(Plants!K75,"AAAAAE18/JE=")</f>
        <v>#VALUE!</v>
      </c>
      <c r="EQ21" t="e">
        <f>AND(Plants!L75,"AAAAAE18/JI=")</f>
        <v>#VALUE!</v>
      </c>
      <c r="ER21" t="e">
        <f>AND(Plants!M75,"AAAAAE18/JM=")</f>
        <v>#VALUE!</v>
      </c>
      <c r="ES21" t="e">
        <f>AND(Plants!N75,"AAAAAE18/JQ=")</f>
        <v>#VALUE!</v>
      </c>
      <c r="ET21" t="e">
        <f>AND(Plants!O75,"AAAAAE18/JU=")</f>
        <v>#VALUE!</v>
      </c>
      <c r="EU21" t="e">
        <f>AND(Plants!P75,"AAAAAE18/JY=")</f>
        <v>#VALUE!</v>
      </c>
      <c r="EV21" t="e">
        <f>AND(Plants!Q75,"AAAAAE18/Jc=")</f>
        <v>#VALUE!</v>
      </c>
      <c r="EW21">
        <f>IF(Plants!76:76,"AAAAAE18/Jg=",0)</f>
        <v>0</v>
      </c>
      <c r="EX21" t="e">
        <f>AND(Plants!A76,"AAAAAE18/Jk=")</f>
        <v>#VALUE!</v>
      </c>
      <c r="EY21" t="e">
        <f>AND(Plants!B76,"AAAAAE18/Jo=")</f>
        <v>#VALUE!</v>
      </c>
      <c r="EZ21" t="e">
        <f>AND(Plants!C76,"AAAAAE18/Js=")</f>
        <v>#VALUE!</v>
      </c>
      <c r="FA21" t="e">
        <f>AND(Plants!D76,"AAAAAE18/Jw=")</f>
        <v>#VALUE!</v>
      </c>
      <c r="FB21" t="e">
        <f>AND(Plants!E76,"AAAAAE18/J0=")</f>
        <v>#VALUE!</v>
      </c>
      <c r="FC21" t="e">
        <f>AND(Plants!F76,"AAAAAE18/J4=")</f>
        <v>#VALUE!</v>
      </c>
      <c r="FD21" t="e">
        <f>AND(Plants!G76,"AAAAAE18/J8=")</f>
        <v>#VALUE!</v>
      </c>
      <c r="FE21" t="e">
        <f>AND(Plants!H76,"AAAAAE18/KA=")</f>
        <v>#VALUE!</v>
      </c>
      <c r="FF21" t="e">
        <f>AND(Plants!I76,"AAAAAE18/KE=")</f>
        <v>#VALUE!</v>
      </c>
      <c r="FG21" t="e">
        <f>AND(Plants!J76,"AAAAAE18/KI=")</f>
        <v>#VALUE!</v>
      </c>
      <c r="FH21" t="e">
        <f>AND(Plants!K76,"AAAAAE18/KM=")</f>
        <v>#VALUE!</v>
      </c>
      <c r="FI21" t="e">
        <f>AND(Plants!L76,"AAAAAE18/KQ=")</f>
        <v>#VALUE!</v>
      </c>
      <c r="FJ21" t="e">
        <f>AND(Plants!M76,"AAAAAE18/KU=")</f>
        <v>#VALUE!</v>
      </c>
      <c r="FK21" t="e">
        <f>AND(Plants!N76,"AAAAAE18/KY=")</f>
        <v>#VALUE!</v>
      </c>
      <c r="FL21" t="e">
        <f>AND(Plants!O76,"AAAAAE18/Kc=")</f>
        <v>#VALUE!</v>
      </c>
      <c r="FM21" t="e">
        <f>AND(Plants!P76,"AAAAAE18/Kg=")</f>
        <v>#VALUE!</v>
      </c>
      <c r="FN21" t="e">
        <f>AND(Plants!Q76,"AAAAAE18/Kk=")</f>
        <v>#VALUE!</v>
      </c>
      <c r="FO21">
        <f>IF(Plants!77:77,"AAAAAE18/Ko=",0)</f>
        <v>0</v>
      </c>
      <c r="FP21" t="e">
        <f>AND(Plants!A77,"AAAAAE18/Ks=")</f>
        <v>#VALUE!</v>
      </c>
      <c r="FQ21" t="e">
        <f>AND(Plants!B77,"AAAAAE18/Kw=")</f>
        <v>#VALUE!</v>
      </c>
      <c r="FR21" t="e">
        <f>AND(Plants!C77,"AAAAAE18/K0=")</f>
        <v>#VALUE!</v>
      </c>
      <c r="FS21" t="e">
        <f>AND(Plants!D77,"AAAAAE18/K4=")</f>
        <v>#VALUE!</v>
      </c>
      <c r="FT21" t="e">
        <f>AND(Plants!E77,"AAAAAE18/K8=")</f>
        <v>#VALUE!</v>
      </c>
      <c r="FU21" t="e">
        <f>AND(Plants!F77,"AAAAAE18/LA=")</f>
        <v>#VALUE!</v>
      </c>
      <c r="FV21" t="e">
        <f>AND(Plants!G77,"AAAAAE18/LE=")</f>
        <v>#VALUE!</v>
      </c>
      <c r="FW21" t="e">
        <f>AND(Plants!H77,"AAAAAE18/LI=")</f>
        <v>#VALUE!</v>
      </c>
      <c r="FX21" t="e">
        <f>AND(Plants!I77,"AAAAAE18/LM=")</f>
        <v>#VALUE!</v>
      </c>
      <c r="FY21" t="e">
        <f>AND(Plants!J77,"AAAAAE18/LQ=")</f>
        <v>#VALUE!</v>
      </c>
      <c r="FZ21" t="e">
        <f>AND(Plants!K77,"AAAAAE18/LU=")</f>
        <v>#VALUE!</v>
      </c>
      <c r="GA21" t="e">
        <f>AND(Plants!L77,"AAAAAE18/LY=")</f>
        <v>#VALUE!</v>
      </c>
      <c r="GB21" t="e">
        <f>AND(Plants!M77,"AAAAAE18/Lc=")</f>
        <v>#VALUE!</v>
      </c>
      <c r="GC21" t="e">
        <f>AND(Plants!N77,"AAAAAE18/Lg=")</f>
        <v>#VALUE!</v>
      </c>
      <c r="GD21" t="e">
        <f>AND(Plants!O77,"AAAAAE18/Lk=")</f>
        <v>#VALUE!</v>
      </c>
      <c r="GE21" t="e">
        <f>AND(Plants!P77,"AAAAAE18/Lo=")</f>
        <v>#VALUE!</v>
      </c>
      <c r="GF21" t="e">
        <f>AND(Plants!Q77,"AAAAAE18/Ls=")</f>
        <v>#VALUE!</v>
      </c>
      <c r="GG21">
        <f>IF(Plants!78:78,"AAAAAE18/Lw=",0)</f>
        <v>0</v>
      </c>
      <c r="GH21" t="e">
        <f>AND(Plants!A78,"AAAAAE18/L0=")</f>
        <v>#VALUE!</v>
      </c>
      <c r="GI21" t="e">
        <f>AND(Plants!B78,"AAAAAE18/L4=")</f>
        <v>#VALUE!</v>
      </c>
      <c r="GJ21" t="e">
        <f>AND(Plants!C78,"AAAAAE18/L8=")</f>
        <v>#VALUE!</v>
      </c>
      <c r="GK21" t="e">
        <f>AND(Plants!D78,"AAAAAE18/MA=")</f>
        <v>#VALUE!</v>
      </c>
      <c r="GL21" t="e">
        <f>AND(Plants!E78,"AAAAAE18/ME=")</f>
        <v>#VALUE!</v>
      </c>
      <c r="GM21" t="e">
        <f>AND(Plants!F78,"AAAAAE18/MI=")</f>
        <v>#VALUE!</v>
      </c>
      <c r="GN21" t="e">
        <f>AND(Plants!G78,"AAAAAE18/MM=")</f>
        <v>#VALUE!</v>
      </c>
      <c r="GO21" t="e">
        <f>AND(Plants!H78,"AAAAAE18/MQ=")</f>
        <v>#VALUE!</v>
      </c>
      <c r="GP21" t="e">
        <f>AND(Plants!I78,"AAAAAE18/MU=")</f>
        <v>#VALUE!</v>
      </c>
      <c r="GQ21" t="e">
        <f>AND(Plants!J78,"AAAAAE18/MY=")</f>
        <v>#VALUE!</v>
      </c>
      <c r="GR21" t="e">
        <f>AND(Plants!K78,"AAAAAE18/Mc=")</f>
        <v>#VALUE!</v>
      </c>
      <c r="GS21" t="e">
        <f>AND(Plants!L78,"AAAAAE18/Mg=")</f>
        <v>#VALUE!</v>
      </c>
      <c r="GT21" t="e">
        <f>AND(Plants!M78,"AAAAAE18/Mk=")</f>
        <v>#VALUE!</v>
      </c>
      <c r="GU21" t="e">
        <f>AND(Plants!N78,"AAAAAE18/Mo=")</f>
        <v>#VALUE!</v>
      </c>
      <c r="GV21" t="e">
        <f>AND(Plants!O78,"AAAAAE18/Ms=")</f>
        <v>#VALUE!</v>
      </c>
      <c r="GW21" t="e">
        <f>AND(Plants!P78,"AAAAAE18/Mw=")</f>
        <v>#VALUE!</v>
      </c>
      <c r="GX21" t="e">
        <f>AND(Plants!Q78,"AAAAAE18/M0=")</f>
        <v>#VALUE!</v>
      </c>
      <c r="GY21">
        <f>IF(Plants!79:79,"AAAAAE18/M4=",0)</f>
        <v>0</v>
      </c>
      <c r="GZ21" t="e">
        <f>AND(Plants!A79,"AAAAAE18/M8=")</f>
        <v>#VALUE!</v>
      </c>
      <c r="HA21" t="e">
        <f>AND(Plants!B79,"AAAAAE18/NA=")</f>
        <v>#VALUE!</v>
      </c>
      <c r="HB21" t="e">
        <f>AND(Plants!C79,"AAAAAE18/NE=")</f>
        <v>#VALUE!</v>
      </c>
      <c r="HC21" t="e">
        <f>AND(Plants!D79,"AAAAAE18/NI=")</f>
        <v>#VALUE!</v>
      </c>
      <c r="HD21" t="e">
        <f>AND(Plants!E79,"AAAAAE18/NM=")</f>
        <v>#VALUE!</v>
      </c>
      <c r="HE21" t="e">
        <f>AND(Plants!F79,"AAAAAE18/NQ=")</f>
        <v>#VALUE!</v>
      </c>
      <c r="HF21" t="e">
        <f>AND(Plants!G79,"AAAAAE18/NU=")</f>
        <v>#VALUE!</v>
      </c>
      <c r="HG21" t="e">
        <f>AND(Plants!H79,"AAAAAE18/NY=")</f>
        <v>#VALUE!</v>
      </c>
      <c r="HH21" t="e">
        <f>AND(Plants!I79,"AAAAAE18/Nc=")</f>
        <v>#VALUE!</v>
      </c>
      <c r="HI21" t="e">
        <f>AND(Plants!J79,"AAAAAE18/Ng=")</f>
        <v>#VALUE!</v>
      </c>
      <c r="HJ21" t="e">
        <f>AND(Plants!K79,"AAAAAE18/Nk=")</f>
        <v>#VALUE!</v>
      </c>
      <c r="HK21" t="e">
        <f>AND(Plants!L79,"AAAAAE18/No=")</f>
        <v>#VALUE!</v>
      </c>
      <c r="HL21" t="e">
        <f>AND(Plants!M79,"AAAAAE18/Ns=")</f>
        <v>#VALUE!</v>
      </c>
      <c r="HM21" t="e">
        <f>AND(Plants!N79,"AAAAAE18/Nw=")</f>
        <v>#VALUE!</v>
      </c>
      <c r="HN21" t="e">
        <f>AND(Plants!O79,"AAAAAE18/N0=")</f>
        <v>#VALUE!</v>
      </c>
      <c r="HO21" t="e">
        <f>AND(Plants!P79,"AAAAAE18/N4=")</f>
        <v>#VALUE!</v>
      </c>
      <c r="HP21" t="e">
        <f>AND(Plants!Q79,"AAAAAE18/N8=")</f>
        <v>#VALUE!</v>
      </c>
      <c r="HQ21">
        <f>IF(Plants!80:80,"AAAAAE18/OA=",0)</f>
        <v>0</v>
      </c>
      <c r="HR21" t="e">
        <f>AND(Plants!A80,"AAAAAE18/OE=")</f>
        <v>#VALUE!</v>
      </c>
      <c r="HS21" t="e">
        <f>AND(Plants!B80,"AAAAAE18/OI=")</f>
        <v>#VALUE!</v>
      </c>
      <c r="HT21" t="e">
        <f>AND(Plants!C80,"AAAAAE18/OM=")</f>
        <v>#VALUE!</v>
      </c>
      <c r="HU21" t="e">
        <f>AND(Plants!D80,"AAAAAE18/OQ=")</f>
        <v>#VALUE!</v>
      </c>
      <c r="HV21" t="e">
        <f>AND(Plants!E80,"AAAAAE18/OU=")</f>
        <v>#VALUE!</v>
      </c>
      <c r="HW21" t="e">
        <f>AND(Plants!F80,"AAAAAE18/OY=")</f>
        <v>#VALUE!</v>
      </c>
      <c r="HX21" t="e">
        <f>AND(Plants!G80,"AAAAAE18/Oc=")</f>
        <v>#VALUE!</v>
      </c>
      <c r="HY21" t="e">
        <f>AND(Plants!H80,"AAAAAE18/Og=")</f>
        <v>#VALUE!</v>
      </c>
      <c r="HZ21" t="e">
        <f>AND(Plants!I80,"AAAAAE18/Ok=")</f>
        <v>#VALUE!</v>
      </c>
      <c r="IA21" t="e">
        <f>AND(Plants!J80,"AAAAAE18/Oo=")</f>
        <v>#VALUE!</v>
      </c>
      <c r="IB21" t="e">
        <f>AND(Plants!K80,"AAAAAE18/Os=")</f>
        <v>#VALUE!</v>
      </c>
      <c r="IC21" t="e">
        <f>AND(Plants!L80,"AAAAAE18/Ow=")</f>
        <v>#VALUE!</v>
      </c>
      <c r="ID21" t="e">
        <f>AND(Plants!M80,"AAAAAE18/O0=")</f>
        <v>#VALUE!</v>
      </c>
      <c r="IE21" t="e">
        <f>AND(Plants!N80,"AAAAAE18/O4=")</f>
        <v>#VALUE!</v>
      </c>
      <c r="IF21" t="e">
        <f>AND(Plants!O80,"AAAAAE18/O8=")</f>
        <v>#VALUE!</v>
      </c>
      <c r="IG21" t="e">
        <f>AND(Plants!P80,"AAAAAE18/PA=")</f>
        <v>#VALUE!</v>
      </c>
      <c r="IH21" t="e">
        <f>AND(Plants!Q80,"AAAAAE18/PE=")</f>
        <v>#VALUE!</v>
      </c>
      <c r="II21">
        <f>IF(Plants!81:81,"AAAAAE18/PI=",0)</f>
        <v>0</v>
      </c>
      <c r="IJ21" t="e">
        <f>AND(Plants!A81,"AAAAAE18/PM=")</f>
        <v>#VALUE!</v>
      </c>
      <c r="IK21" t="e">
        <f>AND(Plants!B81,"AAAAAE18/PQ=")</f>
        <v>#VALUE!</v>
      </c>
      <c r="IL21" t="e">
        <f>AND(Plants!C81,"AAAAAE18/PU=")</f>
        <v>#VALUE!</v>
      </c>
      <c r="IM21" t="e">
        <f>AND(Plants!D81,"AAAAAE18/PY=")</f>
        <v>#VALUE!</v>
      </c>
      <c r="IN21" t="e">
        <f>AND(Plants!E81,"AAAAAE18/Pc=")</f>
        <v>#VALUE!</v>
      </c>
      <c r="IO21" t="e">
        <f>AND(Plants!F81,"AAAAAE18/Pg=")</f>
        <v>#VALUE!</v>
      </c>
      <c r="IP21" t="e">
        <f>AND(Plants!G81,"AAAAAE18/Pk=")</f>
        <v>#VALUE!</v>
      </c>
      <c r="IQ21" t="e">
        <f>AND(Plants!H81,"AAAAAE18/Po=")</f>
        <v>#VALUE!</v>
      </c>
      <c r="IR21" t="e">
        <f>AND(Plants!I81,"AAAAAE18/Ps=")</f>
        <v>#VALUE!</v>
      </c>
      <c r="IS21" t="e">
        <f>AND(Plants!J81,"AAAAAE18/Pw=")</f>
        <v>#VALUE!</v>
      </c>
      <c r="IT21" t="e">
        <f>AND(Plants!K81,"AAAAAE18/P0=")</f>
        <v>#VALUE!</v>
      </c>
      <c r="IU21" t="e">
        <f>AND(Plants!L81,"AAAAAE18/P4=")</f>
        <v>#VALUE!</v>
      </c>
      <c r="IV21" t="e">
        <f>AND(Plants!M81,"AAAAAE18/P8=")</f>
        <v>#VALUE!</v>
      </c>
    </row>
    <row r="22" spans="1:256">
      <c r="A22" t="e">
        <f>AND(Plants!N81,"AAAAADntbQA=")</f>
        <v>#VALUE!</v>
      </c>
      <c r="B22" t="e">
        <f>AND(Plants!O81,"AAAAADntbQE=")</f>
        <v>#VALUE!</v>
      </c>
      <c r="C22" t="e">
        <f>AND(Plants!P81,"AAAAADntbQI=")</f>
        <v>#VALUE!</v>
      </c>
      <c r="D22" t="e">
        <f>AND(Plants!Q81,"AAAAADntbQM=")</f>
        <v>#VALUE!</v>
      </c>
      <c r="E22">
        <f>IF(Plants!82:82,"AAAAADntbQQ=",0)</f>
        <v>0</v>
      </c>
      <c r="F22" t="e">
        <f>AND(Plants!A82,"AAAAADntbQU=")</f>
        <v>#VALUE!</v>
      </c>
      <c r="G22" t="e">
        <f>AND(Plants!B82,"AAAAADntbQY=")</f>
        <v>#VALUE!</v>
      </c>
      <c r="H22" t="e">
        <f>AND(Plants!C82,"AAAAADntbQc=")</f>
        <v>#VALUE!</v>
      </c>
      <c r="I22" t="e">
        <f>AND(Plants!D82,"AAAAADntbQg=")</f>
        <v>#VALUE!</v>
      </c>
      <c r="J22" t="e">
        <f>AND(Plants!E82,"AAAAADntbQk=")</f>
        <v>#VALUE!</v>
      </c>
      <c r="K22" t="e">
        <f>AND(Plants!F82,"AAAAADntbQo=")</f>
        <v>#VALUE!</v>
      </c>
      <c r="L22" t="e">
        <f>AND(Plants!G82,"AAAAADntbQs=")</f>
        <v>#VALUE!</v>
      </c>
      <c r="M22" t="e">
        <f>AND(Plants!H82,"AAAAADntbQw=")</f>
        <v>#VALUE!</v>
      </c>
      <c r="N22" t="e">
        <f>AND(Plants!I82,"AAAAADntbQ0=")</f>
        <v>#VALUE!</v>
      </c>
      <c r="O22" t="e">
        <f>AND(Plants!J82,"AAAAADntbQ4=")</f>
        <v>#VALUE!</v>
      </c>
      <c r="P22" t="e">
        <f>AND(Plants!K82,"AAAAADntbQ8=")</f>
        <v>#VALUE!</v>
      </c>
      <c r="Q22" t="e">
        <f>AND(Plants!L82,"AAAAADntbRA=")</f>
        <v>#VALUE!</v>
      </c>
      <c r="R22" t="e">
        <f>AND(Plants!M82,"AAAAADntbRE=")</f>
        <v>#VALUE!</v>
      </c>
      <c r="S22" t="e">
        <f>AND(Plants!N82,"AAAAADntbRI=")</f>
        <v>#VALUE!</v>
      </c>
      <c r="T22" t="e">
        <f>AND(Plants!O82,"AAAAADntbRM=")</f>
        <v>#VALUE!</v>
      </c>
      <c r="U22" t="e">
        <f>AND(Plants!P82,"AAAAADntbRQ=")</f>
        <v>#VALUE!</v>
      </c>
      <c r="V22" t="e">
        <f>AND(Plants!Q82,"AAAAADntbRU=")</f>
        <v>#VALUE!</v>
      </c>
      <c r="W22">
        <f>IF(Plants!83:83,"AAAAADntbRY=",0)</f>
        <v>0</v>
      </c>
      <c r="X22" t="e">
        <f>AND(Plants!A83,"AAAAADntbRc=")</f>
        <v>#VALUE!</v>
      </c>
      <c r="Y22" t="e">
        <f>AND(Plants!B83,"AAAAADntbRg=")</f>
        <v>#VALUE!</v>
      </c>
      <c r="Z22" t="e">
        <f>AND(Plants!C83,"AAAAADntbRk=")</f>
        <v>#VALUE!</v>
      </c>
      <c r="AA22" t="e">
        <f>AND(Plants!D83,"AAAAADntbRo=")</f>
        <v>#VALUE!</v>
      </c>
      <c r="AB22" t="e">
        <f>AND(Plants!E83,"AAAAADntbRs=")</f>
        <v>#VALUE!</v>
      </c>
      <c r="AC22" t="e">
        <f>AND(Plants!F83,"AAAAADntbRw=")</f>
        <v>#VALUE!</v>
      </c>
      <c r="AD22" t="e">
        <f>AND(Plants!G83,"AAAAADntbR0=")</f>
        <v>#VALUE!</v>
      </c>
      <c r="AE22" t="e">
        <f>AND(Plants!H83,"AAAAADntbR4=")</f>
        <v>#VALUE!</v>
      </c>
      <c r="AF22" t="e">
        <f>AND(Plants!I83,"AAAAADntbR8=")</f>
        <v>#VALUE!</v>
      </c>
      <c r="AG22" t="e">
        <f>AND(Plants!J83,"AAAAADntbSA=")</f>
        <v>#VALUE!</v>
      </c>
      <c r="AH22" t="e">
        <f>AND(Plants!K83,"AAAAADntbSE=")</f>
        <v>#VALUE!</v>
      </c>
      <c r="AI22" t="e">
        <f>AND(Plants!L83,"AAAAADntbSI=")</f>
        <v>#VALUE!</v>
      </c>
      <c r="AJ22" t="e">
        <f>AND(Plants!M83,"AAAAADntbSM=")</f>
        <v>#VALUE!</v>
      </c>
      <c r="AK22" t="e">
        <f>AND(Plants!N83,"AAAAADntbSQ=")</f>
        <v>#VALUE!</v>
      </c>
      <c r="AL22" t="e">
        <f>AND(Plants!O83,"AAAAADntbSU=")</f>
        <v>#VALUE!</v>
      </c>
      <c r="AM22" t="e">
        <f>AND(Plants!P83,"AAAAADntbSY=")</f>
        <v>#VALUE!</v>
      </c>
      <c r="AN22" t="e">
        <f>AND(Plants!Q83,"AAAAADntbSc=")</f>
        <v>#VALUE!</v>
      </c>
      <c r="AO22">
        <f>IF(Plants!84:84,"AAAAADntbSg=",0)</f>
        <v>0</v>
      </c>
      <c r="AP22" t="e">
        <f>AND(Plants!A84,"AAAAADntbSk=")</f>
        <v>#VALUE!</v>
      </c>
      <c r="AQ22" t="e">
        <f>AND(Plants!B84,"AAAAADntbSo=")</f>
        <v>#VALUE!</v>
      </c>
      <c r="AR22" t="e">
        <f>AND(Plants!C84,"AAAAADntbSs=")</f>
        <v>#VALUE!</v>
      </c>
      <c r="AS22" t="e">
        <f>AND(Plants!D84,"AAAAADntbSw=")</f>
        <v>#VALUE!</v>
      </c>
      <c r="AT22" t="e">
        <f>AND(Plants!E84,"AAAAADntbS0=")</f>
        <v>#VALUE!</v>
      </c>
      <c r="AU22" t="e">
        <f>AND(Plants!F84,"AAAAADntbS4=")</f>
        <v>#VALUE!</v>
      </c>
      <c r="AV22" t="e">
        <f>AND(Plants!G84,"AAAAADntbS8=")</f>
        <v>#VALUE!</v>
      </c>
      <c r="AW22" t="e">
        <f>AND(Plants!H84,"AAAAADntbTA=")</f>
        <v>#VALUE!</v>
      </c>
      <c r="AX22" t="e">
        <f>AND(Plants!I84,"AAAAADntbTE=")</f>
        <v>#VALUE!</v>
      </c>
      <c r="AY22" t="e">
        <f>AND(Plants!J84,"AAAAADntbTI=")</f>
        <v>#VALUE!</v>
      </c>
      <c r="AZ22" t="e">
        <f>AND(Plants!K84,"AAAAADntbTM=")</f>
        <v>#VALUE!</v>
      </c>
      <c r="BA22" t="e">
        <f>AND(Plants!L84,"AAAAADntbTQ=")</f>
        <v>#VALUE!</v>
      </c>
      <c r="BB22" t="e">
        <f>AND(Plants!M84,"AAAAADntbTU=")</f>
        <v>#VALUE!</v>
      </c>
      <c r="BC22" t="e">
        <f>AND(Plants!N84,"AAAAADntbTY=")</f>
        <v>#VALUE!</v>
      </c>
      <c r="BD22" t="e">
        <f>AND(Plants!O84,"AAAAADntbTc=")</f>
        <v>#VALUE!</v>
      </c>
      <c r="BE22" t="e">
        <f>AND(Plants!P84,"AAAAADntbTg=")</f>
        <v>#VALUE!</v>
      </c>
      <c r="BF22" t="e">
        <f>AND(Plants!Q84,"AAAAADntbTk=")</f>
        <v>#VALUE!</v>
      </c>
      <c r="BG22">
        <f>IF(Plants!85:85,"AAAAADntbTo=",0)</f>
        <v>0</v>
      </c>
      <c r="BH22" t="e">
        <f>AND(Plants!A85,"AAAAADntbTs=")</f>
        <v>#VALUE!</v>
      </c>
      <c r="BI22" t="e">
        <f>AND(Plants!B85,"AAAAADntbTw=")</f>
        <v>#VALUE!</v>
      </c>
      <c r="BJ22" t="e">
        <f>AND(Plants!C85,"AAAAADntbT0=")</f>
        <v>#VALUE!</v>
      </c>
      <c r="BK22" t="e">
        <f>AND(Plants!D85,"AAAAADntbT4=")</f>
        <v>#VALUE!</v>
      </c>
      <c r="BL22" t="e">
        <f>AND(Plants!E85,"AAAAADntbT8=")</f>
        <v>#VALUE!</v>
      </c>
      <c r="BM22" t="e">
        <f>AND(Plants!F85,"AAAAADntbUA=")</f>
        <v>#VALUE!</v>
      </c>
      <c r="BN22" t="e">
        <f>AND(Plants!G85,"AAAAADntbUE=")</f>
        <v>#VALUE!</v>
      </c>
      <c r="BO22" t="e">
        <f>AND(Plants!H85,"AAAAADntbUI=")</f>
        <v>#VALUE!</v>
      </c>
      <c r="BP22" t="e">
        <f>AND(Plants!I85,"AAAAADntbUM=")</f>
        <v>#VALUE!</v>
      </c>
      <c r="BQ22" t="e">
        <f>AND(Plants!J85,"AAAAADntbUQ=")</f>
        <v>#VALUE!</v>
      </c>
      <c r="BR22" t="e">
        <f>AND(Plants!K85,"AAAAADntbUU=")</f>
        <v>#VALUE!</v>
      </c>
      <c r="BS22" t="e">
        <f>AND(Plants!L85,"AAAAADntbUY=")</f>
        <v>#VALUE!</v>
      </c>
      <c r="BT22" t="e">
        <f>AND(Plants!M85,"AAAAADntbUc=")</f>
        <v>#VALUE!</v>
      </c>
      <c r="BU22" t="e">
        <f>AND(Plants!N85,"AAAAADntbUg=")</f>
        <v>#VALUE!</v>
      </c>
      <c r="BV22" t="e">
        <f>AND(Plants!O85,"AAAAADntbUk=")</f>
        <v>#VALUE!</v>
      </c>
      <c r="BW22" t="e">
        <f>AND(Plants!P85,"AAAAADntbUo=")</f>
        <v>#VALUE!</v>
      </c>
      <c r="BX22" t="e">
        <f>AND(Plants!Q85,"AAAAADntbUs=")</f>
        <v>#VALUE!</v>
      </c>
      <c r="BY22">
        <f>IF(Plants!86:86,"AAAAADntbUw=",0)</f>
        <v>0</v>
      </c>
      <c r="BZ22" t="e">
        <f>AND(Plants!A86,"AAAAADntbU0=")</f>
        <v>#VALUE!</v>
      </c>
      <c r="CA22" t="e">
        <f>AND(Plants!B86,"AAAAADntbU4=")</f>
        <v>#VALUE!</v>
      </c>
      <c r="CB22" t="e">
        <f>AND(Plants!C86,"AAAAADntbU8=")</f>
        <v>#VALUE!</v>
      </c>
      <c r="CC22" t="e">
        <f>AND(Plants!D86,"AAAAADntbVA=")</f>
        <v>#VALUE!</v>
      </c>
      <c r="CD22" t="e">
        <f>AND(Plants!E86,"AAAAADntbVE=")</f>
        <v>#VALUE!</v>
      </c>
      <c r="CE22" t="e">
        <f>AND(Plants!F86,"AAAAADntbVI=")</f>
        <v>#VALUE!</v>
      </c>
      <c r="CF22" t="e">
        <f>AND(Plants!G86,"AAAAADntbVM=")</f>
        <v>#VALUE!</v>
      </c>
      <c r="CG22" t="e">
        <f>AND(Plants!H86,"AAAAADntbVQ=")</f>
        <v>#VALUE!</v>
      </c>
      <c r="CH22" t="e">
        <f>AND(Plants!I86,"AAAAADntbVU=")</f>
        <v>#VALUE!</v>
      </c>
      <c r="CI22" t="e">
        <f>AND(Plants!J86,"AAAAADntbVY=")</f>
        <v>#VALUE!</v>
      </c>
      <c r="CJ22" t="e">
        <f>AND(Plants!K86,"AAAAADntbVc=")</f>
        <v>#VALUE!</v>
      </c>
      <c r="CK22" t="e">
        <f>AND(Plants!L86,"AAAAADntbVg=")</f>
        <v>#VALUE!</v>
      </c>
      <c r="CL22" t="e">
        <f>AND(Plants!M86,"AAAAADntbVk=")</f>
        <v>#VALUE!</v>
      </c>
      <c r="CM22" t="e">
        <f>AND(Plants!N86,"AAAAADntbVo=")</f>
        <v>#VALUE!</v>
      </c>
      <c r="CN22" t="e">
        <f>AND(Plants!O86,"AAAAADntbVs=")</f>
        <v>#VALUE!</v>
      </c>
      <c r="CO22" t="e">
        <f>AND(Plants!P86,"AAAAADntbVw=")</f>
        <v>#VALUE!</v>
      </c>
      <c r="CP22" t="e">
        <f>AND(Plants!Q86,"AAAAADntbV0=")</f>
        <v>#VALUE!</v>
      </c>
      <c r="CQ22">
        <f>IF(Plants!87:87,"AAAAADntbV4=",0)</f>
        <v>0</v>
      </c>
      <c r="CR22" t="e">
        <f>AND(Plants!A87,"AAAAADntbV8=")</f>
        <v>#VALUE!</v>
      </c>
      <c r="CS22" t="e">
        <f>AND(Plants!B87,"AAAAADntbWA=")</f>
        <v>#VALUE!</v>
      </c>
      <c r="CT22" t="e">
        <f>AND(Plants!C87,"AAAAADntbWE=")</f>
        <v>#VALUE!</v>
      </c>
      <c r="CU22" t="e">
        <f>AND(Plants!D87,"AAAAADntbWI=")</f>
        <v>#VALUE!</v>
      </c>
      <c r="CV22" t="e">
        <f>AND(Plants!E87,"AAAAADntbWM=")</f>
        <v>#VALUE!</v>
      </c>
      <c r="CW22" t="e">
        <f>AND(Plants!F87,"AAAAADntbWQ=")</f>
        <v>#VALUE!</v>
      </c>
      <c r="CX22" t="e">
        <f>AND(Plants!G87,"AAAAADntbWU=")</f>
        <v>#VALUE!</v>
      </c>
      <c r="CY22" t="e">
        <f>AND(Plants!H87,"AAAAADntbWY=")</f>
        <v>#VALUE!</v>
      </c>
      <c r="CZ22" t="e">
        <f>AND(Plants!I87,"AAAAADntbWc=")</f>
        <v>#VALUE!</v>
      </c>
      <c r="DA22" t="e">
        <f>AND(Plants!J87,"AAAAADntbWg=")</f>
        <v>#VALUE!</v>
      </c>
      <c r="DB22" t="e">
        <f>AND(Plants!K87,"AAAAADntbWk=")</f>
        <v>#VALUE!</v>
      </c>
      <c r="DC22" t="e">
        <f>AND(Plants!L87,"AAAAADntbWo=")</f>
        <v>#VALUE!</v>
      </c>
      <c r="DD22" t="e">
        <f>AND(Plants!M87,"AAAAADntbWs=")</f>
        <v>#VALUE!</v>
      </c>
      <c r="DE22" t="e">
        <f>AND(Plants!N87,"AAAAADntbWw=")</f>
        <v>#VALUE!</v>
      </c>
      <c r="DF22" t="e">
        <f>AND(Plants!O87,"AAAAADntbW0=")</f>
        <v>#VALUE!</v>
      </c>
      <c r="DG22" t="e">
        <f>AND(Plants!P87,"AAAAADntbW4=")</f>
        <v>#VALUE!</v>
      </c>
      <c r="DH22" t="e">
        <f>AND(Plants!Q87,"AAAAADntbW8=")</f>
        <v>#VALUE!</v>
      </c>
      <c r="DI22">
        <f>IF(Plants!88:88,"AAAAADntbXA=",0)</f>
        <v>0</v>
      </c>
      <c r="DJ22" t="e">
        <f>AND(Plants!A88,"AAAAADntbXE=")</f>
        <v>#VALUE!</v>
      </c>
      <c r="DK22" t="e">
        <f>AND(Plants!B88,"AAAAADntbXI=")</f>
        <v>#VALUE!</v>
      </c>
      <c r="DL22" t="e">
        <f>AND(Plants!C88,"AAAAADntbXM=")</f>
        <v>#VALUE!</v>
      </c>
      <c r="DM22" t="e">
        <f>AND(Plants!D88,"AAAAADntbXQ=")</f>
        <v>#VALUE!</v>
      </c>
      <c r="DN22" t="e">
        <f>AND(Plants!E88,"AAAAADntbXU=")</f>
        <v>#VALUE!</v>
      </c>
      <c r="DO22" t="e">
        <f>AND(Plants!F88,"AAAAADntbXY=")</f>
        <v>#VALUE!</v>
      </c>
      <c r="DP22" t="e">
        <f>AND(Plants!G88,"AAAAADntbXc=")</f>
        <v>#VALUE!</v>
      </c>
      <c r="DQ22" t="e">
        <f>AND(Plants!H88,"AAAAADntbXg=")</f>
        <v>#VALUE!</v>
      </c>
      <c r="DR22" t="e">
        <f>AND(Plants!I88,"AAAAADntbXk=")</f>
        <v>#VALUE!</v>
      </c>
      <c r="DS22" t="e">
        <f>AND(Plants!J88,"AAAAADntbXo=")</f>
        <v>#VALUE!</v>
      </c>
      <c r="DT22" t="e">
        <f>AND(Plants!K88,"AAAAADntbXs=")</f>
        <v>#VALUE!</v>
      </c>
      <c r="DU22" t="e">
        <f>AND(Plants!L88,"AAAAADntbXw=")</f>
        <v>#VALUE!</v>
      </c>
      <c r="DV22" t="e">
        <f>AND(Plants!M88,"AAAAADntbX0=")</f>
        <v>#VALUE!</v>
      </c>
      <c r="DW22" t="e">
        <f>AND(Plants!N88,"AAAAADntbX4=")</f>
        <v>#VALUE!</v>
      </c>
      <c r="DX22" t="e">
        <f>AND(Plants!O88,"AAAAADntbX8=")</f>
        <v>#VALUE!</v>
      </c>
      <c r="DY22" t="e">
        <f>AND(Plants!P88,"AAAAADntbYA=")</f>
        <v>#VALUE!</v>
      </c>
      <c r="DZ22" t="e">
        <f>AND(Plants!Q88,"AAAAADntbYE=")</f>
        <v>#VALUE!</v>
      </c>
      <c r="EA22">
        <f>IF(Plants!89:89,"AAAAADntbYI=",0)</f>
        <v>0</v>
      </c>
      <c r="EB22" t="e">
        <f>AND(Plants!A89,"AAAAADntbYM=")</f>
        <v>#VALUE!</v>
      </c>
      <c r="EC22" t="e">
        <f>AND(Plants!B89,"AAAAADntbYQ=")</f>
        <v>#VALUE!</v>
      </c>
      <c r="ED22" t="e">
        <f>AND(Plants!C89,"AAAAADntbYU=")</f>
        <v>#VALUE!</v>
      </c>
      <c r="EE22" t="e">
        <f>AND(Plants!D89,"AAAAADntbYY=")</f>
        <v>#VALUE!</v>
      </c>
      <c r="EF22" t="e">
        <f>AND(Plants!E89,"AAAAADntbYc=")</f>
        <v>#VALUE!</v>
      </c>
      <c r="EG22" t="e">
        <f>AND(Plants!F89,"AAAAADntbYg=")</f>
        <v>#VALUE!</v>
      </c>
      <c r="EH22" t="e">
        <f>AND(Plants!G89,"AAAAADntbYk=")</f>
        <v>#VALUE!</v>
      </c>
      <c r="EI22" t="e">
        <f>AND(Plants!H89,"AAAAADntbYo=")</f>
        <v>#VALUE!</v>
      </c>
      <c r="EJ22" t="e">
        <f>AND(Plants!I89,"AAAAADntbYs=")</f>
        <v>#VALUE!</v>
      </c>
      <c r="EK22" t="e">
        <f>AND(Plants!J89,"AAAAADntbYw=")</f>
        <v>#VALUE!</v>
      </c>
      <c r="EL22" t="e">
        <f>AND(Plants!K89,"AAAAADntbY0=")</f>
        <v>#VALUE!</v>
      </c>
      <c r="EM22" t="e">
        <f>AND(Plants!L89,"AAAAADntbY4=")</f>
        <v>#VALUE!</v>
      </c>
      <c r="EN22" t="e">
        <f>AND(Plants!M89,"AAAAADntbY8=")</f>
        <v>#VALUE!</v>
      </c>
      <c r="EO22" t="e">
        <f>AND(Plants!N89,"AAAAADntbZA=")</f>
        <v>#VALUE!</v>
      </c>
      <c r="EP22" t="e">
        <f>AND(Plants!O89,"AAAAADntbZE=")</f>
        <v>#VALUE!</v>
      </c>
      <c r="EQ22" t="e">
        <f>AND(Plants!P89,"AAAAADntbZI=")</f>
        <v>#VALUE!</v>
      </c>
      <c r="ER22" t="e">
        <f>AND(Plants!Q89,"AAAAADntbZM=")</f>
        <v>#VALUE!</v>
      </c>
      <c r="ES22">
        <f>IF(Plants!90:90,"AAAAADntbZQ=",0)</f>
        <v>0</v>
      </c>
      <c r="ET22" t="e">
        <f>AND(Plants!A90,"AAAAADntbZU=")</f>
        <v>#VALUE!</v>
      </c>
      <c r="EU22" t="e">
        <f>AND(Plants!B90,"AAAAADntbZY=")</f>
        <v>#VALUE!</v>
      </c>
      <c r="EV22" t="e">
        <f>AND(Plants!C90,"AAAAADntbZc=")</f>
        <v>#VALUE!</v>
      </c>
      <c r="EW22" t="e">
        <f>AND(Plants!D90,"AAAAADntbZg=")</f>
        <v>#VALUE!</v>
      </c>
      <c r="EX22" t="e">
        <f>AND(Plants!E90,"AAAAADntbZk=")</f>
        <v>#VALUE!</v>
      </c>
      <c r="EY22" t="e">
        <f>AND(Plants!F90,"AAAAADntbZo=")</f>
        <v>#VALUE!</v>
      </c>
      <c r="EZ22" t="e">
        <f>AND(Plants!G90,"AAAAADntbZs=")</f>
        <v>#VALUE!</v>
      </c>
      <c r="FA22" t="e">
        <f>AND(Plants!H90,"AAAAADntbZw=")</f>
        <v>#VALUE!</v>
      </c>
      <c r="FB22" t="e">
        <f>AND(Plants!I90,"AAAAADntbZ0=")</f>
        <v>#VALUE!</v>
      </c>
      <c r="FC22" t="e">
        <f>AND(Plants!J90,"AAAAADntbZ4=")</f>
        <v>#VALUE!</v>
      </c>
      <c r="FD22" t="e">
        <f>AND(Plants!K90,"AAAAADntbZ8=")</f>
        <v>#VALUE!</v>
      </c>
      <c r="FE22" t="e">
        <f>AND(Plants!L90,"AAAAADntbaA=")</f>
        <v>#VALUE!</v>
      </c>
      <c r="FF22" t="e">
        <f>AND(Plants!M90,"AAAAADntbaE=")</f>
        <v>#VALUE!</v>
      </c>
      <c r="FG22" t="e">
        <f>AND(Plants!N90,"AAAAADntbaI=")</f>
        <v>#VALUE!</v>
      </c>
      <c r="FH22" t="e">
        <f>AND(Plants!O90,"AAAAADntbaM=")</f>
        <v>#VALUE!</v>
      </c>
      <c r="FI22" t="e">
        <f>AND(Plants!P90,"AAAAADntbaQ=")</f>
        <v>#VALUE!</v>
      </c>
      <c r="FJ22" t="e">
        <f>AND(Plants!Q90,"AAAAADntbaU=")</f>
        <v>#VALUE!</v>
      </c>
      <c r="FK22">
        <f>IF(Plants!91:91,"AAAAADntbaY=",0)</f>
        <v>0</v>
      </c>
      <c r="FL22" t="e">
        <f>AND(Plants!A91,"AAAAADntbac=")</f>
        <v>#VALUE!</v>
      </c>
      <c r="FM22" t="e">
        <f>AND(Plants!B91,"AAAAADntbag=")</f>
        <v>#VALUE!</v>
      </c>
      <c r="FN22" t="e">
        <f>AND(Plants!C91,"AAAAADntbak=")</f>
        <v>#VALUE!</v>
      </c>
      <c r="FO22" t="e">
        <f>AND(Plants!D91,"AAAAADntbao=")</f>
        <v>#VALUE!</v>
      </c>
      <c r="FP22" t="e">
        <f>AND(Plants!E91,"AAAAADntbas=")</f>
        <v>#VALUE!</v>
      </c>
      <c r="FQ22" t="e">
        <f>AND(Plants!F91,"AAAAADntbaw=")</f>
        <v>#VALUE!</v>
      </c>
      <c r="FR22" t="e">
        <f>AND(Plants!G91,"AAAAADntba0=")</f>
        <v>#VALUE!</v>
      </c>
      <c r="FS22" t="e">
        <f>AND(Plants!H91,"AAAAADntba4=")</f>
        <v>#VALUE!</v>
      </c>
      <c r="FT22" t="e">
        <f>AND(Plants!I91,"AAAAADntba8=")</f>
        <v>#VALUE!</v>
      </c>
      <c r="FU22" t="e">
        <f>AND(Plants!J91,"AAAAADntbbA=")</f>
        <v>#VALUE!</v>
      </c>
      <c r="FV22" t="e">
        <f>AND(Plants!K91,"AAAAADntbbE=")</f>
        <v>#VALUE!</v>
      </c>
      <c r="FW22" t="e">
        <f>AND(Plants!L91,"AAAAADntbbI=")</f>
        <v>#VALUE!</v>
      </c>
      <c r="FX22" t="e">
        <f>AND(Plants!M91,"AAAAADntbbM=")</f>
        <v>#VALUE!</v>
      </c>
      <c r="FY22" t="e">
        <f>AND(Plants!N91,"AAAAADntbbQ=")</f>
        <v>#VALUE!</v>
      </c>
      <c r="FZ22" t="e">
        <f>AND(Plants!O91,"AAAAADntbbU=")</f>
        <v>#VALUE!</v>
      </c>
      <c r="GA22" t="e">
        <f>AND(Plants!P91,"AAAAADntbbY=")</f>
        <v>#VALUE!</v>
      </c>
      <c r="GB22" t="e">
        <f>AND(Plants!Q91,"AAAAADntbbc=")</f>
        <v>#VALUE!</v>
      </c>
      <c r="GC22">
        <f>IF(Plants!92:92,"AAAAADntbbg=",0)</f>
        <v>0</v>
      </c>
      <c r="GD22" t="e">
        <f>AND(Plants!A92,"AAAAADntbbk=")</f>
        <v>#VALUE!</v>
      </c>
      <c r="GE22" t="e">
        <f>AND(Plants!B92,"AAAAADntbbo=")</f>
        <v>#VALUE!</v>
      </c>
      <c r="GF22" t="e">
        <f>AND(Plants!C92,"AAAAADntbbs=")</f>
        <v>#VALUE!</v>
      </c>
      <c r="GG22" t="e">
        <f>AND(Plants!D92,"AAAAADntbbw=")</f>
        <v>#VALUE!</v>
      </c>
      <c r="GH22" t="e">
        <f>AND(Plants!E92,"AAAAADntbb0=")</f>
        <v>#VALUE!</v>
      </c>
      <c r="GI22" t="e">
        <f>AND(Plants!F92,"AAAAADntbb4=")</f>
        <v>#VALUE!</v>
      </c>
      <c r="GJ22" t="e">
        <f>AND(Plants!G92,"AAAAADntbb8=")</f>
        <v>#VALUE!</v>
      </c>
      <c r="GK22" t="e">
        <f>AND(Plants!H92,"AAAAADntbcA=")</f>
        <v>#VALUE!</v>
      </c>
      <c r="GL22" t="e">
        <f>AND(Plants!I92,"AAAAADntbcE=")</f>
        <v>#VALUE!</v>
      </c>
      <c r="GM22" t="e">
        <f>AND(Plants!J92,"AAAAADntbcI=")</f>
        <v>#VALUE!</v>
      </c>
      <c r="GN22" t="e">
        <f>AND(Plants!K92,"AAAAADntbcM=")</f>
        <v>#VALUE!</v>
      </c>
      <c r="GO22" t="e">
        <f>AND(Plants!L92,"AAAAADntbcQ=")</f>
        <v>#VALUE!</v>
      </c>
      <c r="GP22" t="e">
        <f>AND(Plants!M92,"AAAAADntbcU=")</f>
        <v>#VALUE!</v>
      </c>
      <c r="GQ22" t="e">
        <f>AND(Plants!N92,"AAAAADntbcY=")</f>
        <v>#VALUE!</v>
      </c>
      <c r="GR22" t="e">
        <f>AND(Plants!O92,"AAAAADntbcc=")</f>
        <v>#VALUE!</v>
      </c>
      <c r="GS22" t="e">
        <f>AND(Plants!P92,"AAAAADntbcg=")</f>
        <v>#VALUE!</v>
      </c>
      <c r="GT22" t="e">
        <f>AND(Plants!Q92,"AAAAADntbck=")</f>
        <v>#VALUE!</v>
      </c>
      <c r="GU22">
        <f>IF(Plants!93:93,"AAAAADntbco=",0)</f>
        <v>0</v>
      </c>
      <c r="GV22" t="e">
        <f>AND(Plants!A93,"AAAAADntbcs=")</f>
        <v>#VALUE!</v>
      </c>
      <c r="GW22" t="e">
        <f>AND(Plants!B93,"AAAAADntbcw=")</f>
        <v>#VALUE!</v>
      </c>
      <c r="GX22" t="e">
        <f>AND(Plants!C93,"AAAAADntbc0=")</f>
        <v>#VALUE!</v>
      </c>
      <c r="GY22" t="e">
        <f>AND(Plants!D93,"AAAAADntbc4=")</f>
        <v>#VALUE!</v>
      </c>
      <c r="GZ22" t="e">
        <f>AND(Plants!E93,"AAAAADntbc8=")</f>
        <v>#VALUE!</v>
      </c>
      <c r="HA22" t="e">
        <f>AND(Plants!F93,"AAAAADntbdA=")</f>
        <v>#VALUE!</v>
      </c>
      <c r="HB22" t="e">
        <f>AND(Plants!G93,"AAAAADntbdE=")</f>
        <v>#VALUE!</v>
      </c>
      <c r="HC22" t="e">
        <f>AND(Plants!H93,"AAAAADntbdI=")</f>
        <v>#VALUE!</v>
      </c>
      <c r="HD22" t="e">
        <f>AND(Plants!I93,"AAAAADntbdM=")</f>
        <v>#VALUE!</v>
      </c>
      <c r="HE22" t="e">
        <f>AND(Plants!J93,"AAAAADntbdQ=")</f>
        <v>#VALUE!</v>
      </c>
      <c r="HF22" t="e">
        <f>AND(Plants!K93,"AAAAADntbdU=")</f>
        <v>#VALUE!</v>
      </c>
      <c r="HG22" t="e">
        <f>AND(Plants!L93,"AAAAADntbdY=")</f>
        <v>#VALUE!</v>
      </c>
      <c r="HH22" t="e">
        <f>AND(Plants!M93,"AAAAADntbdc=")</f>
        <v>#VALUE!</v>
      </c>
      <c r="HI22" t="e">
        <f>AND(Plants!N93,"AAAAADntbdg=")</f>
        <v>#VALUE!</v>
      </c>
      <c r="HJ22" t="e">
        <f>AND(Plants!O93,"AAAAADntbdk=")</f>
        <v>#VALUE!</v>
      </c>
      <c r="HK22" t="e">
        <f>AND(Plants!P93,"AAAAADntbdo=")</f>
        <v>#VALUE!</v>
      </c>
      <c r="HL22" t="e">
        <f>AND(Plants!Q93,"AAAAADntbds=")</f>
        <v>#VALUE!</v>
      </c>
      <c r="HM22">
        <f>IF(Plants!94:94,"AAAAADntbdw=",0)</f>
        <v>0</v>
      </c>
      <c r="HN22" t="e">
        <f>AND(Plants!A94,"AAAAADntbd0=")</f>
        <v>#VALUE!</v>
      </c>
      <c r="HO22" t="e">
        <f>AND(Plants!B94,"AAAAADntbd4=")</f>
        <v>#VALUE!</v>
      </c>
      <c r="HP22" t="e">
        <f>AND(Plants!C94,"AAAAADntbd8=")</f>
        <v>#VALUE!</v>
      </c>
      <c r="HQ22" t="e">
        <f>AND(Plants!D94,"AAAAADntbeA=")</f>
        <v>#VALUE!</v>
      </c>
      <c r="HR22" t="e">
        <f>AND(Plants!E94,"AAAAADntbeE=")</f>
        <v>#VALUE!</v>
      </c>
      <c r="HS22" t="e">
        <f>AND(Plants!F94,"AAAAADntbeI=")</f>
        <v>#VALUE!</v>
      </c>
      <c r="HT22" t="e">
        <f>AND(Plants!G94,"AAAAADntbeM=")</f>
        <v>#VALUE!</v>
      </c>
      <c r="HU22" t="e">
        <f>AND(Plants!H94,"AAAAADntbeQ=")</f>
        <v>#VALUE!</v>
      </c>
      <c r="HV22" t="e">
        <f>AND(Plants!I94,"AAAAADntbeU=")</f>
        <v>#VALUE!</v>
      </c>
      <c r="HW22" t="e">
        <f>AND(Plants!J94,"AAAAADntbeY=")</f>
        <v>#VALUE!</v>
      </c>
      <c r="HX22" t="e">
        <f>AND(Plants!K94,"AAAAADntbec=")</f>
        <v>#VALUE!</v>
      </c>
      <c r="HY22" t="e">
        <f>AND(Plants!L94,"AAAAADntbeg=")</f>
        <v>#VALUE!</v>
      </c>
      <c r="HZ22" t="e">
        <f>AND(Plants!M94,"AAAAADntbek=")</f>
        <v>#VALUE!</v>
      </c>
      <c r="IA22" t="e">
        <f>AND(Plants!N94,"AAAAADntbeo=")</f>
        <v>#VALUE!</v>
      </c>
      <c r="IB22" t="e">
        <f>AND(Plants!O94,"AAAAADntbes=")</f>
        <v>#VALUE!</v>
      </c>
      <c r="IC22" t="e">
        <f>AND(Plants!P94,"AAAAADntbew=")</f>
        <v>#VALUE!</v>
      </c>
      <c r="ID22" t="e">
        <f>AND(Plants!Q94,"AAAAADntbe0=")</f>
        <v>#VALUE!</v>
      </c>
      <c r="IE22">
        <f>IF(Plants!95:95,"AAAAADntbe4=",0)</f>
        <v>0</v>
      </c>
      <c r="IF22" t="e">
        <f>AND(Plants!A95,"AAAAADntbe8=")</f>
        <v>#VALUE!</v>
      </c>
      <c r="IG22" t="e">
        <f>AND(Plants!B95,"AAAAADntbfA=")</f>
        <v>#VALUE!</v>
      </c>
      <c r="IH22" t="e">
        <f>AND(Plants!C95,"AAAAADntbfE=")</f>
        <v>#VALUE!</v>
      </c>
      <c r="II22" t="e">
        <f>AND(Plants!D95,"AAAAADntbfI=")</f>
        <v>#VALUE!</v>
      </c>
      <c r="IJ22" t="e">
        <f>AND(Plants!E95,"AAAAADntbfM=")</f>
        <v>#VALUE!</v>
      </c>
      <c r="IK22" t="e">
        <f>AND(Plants!F95,"AAAAADntbfQ=")</f>
        <v>#VALUE!</v>
      </c>
      <c r="IL22" t="e">
        <f>AND(Plants!G95,"AAAAADntbfU=")</f>
        <v>#VALUE!</v>
      </c>
      <c r="IM22" t="e">
        <f>AND(Plants!H95,"AAAAADntbfY=")</f>
        <v>#VALUE!</v>
      </c>
      <c r="IN22" t="e">
        <f>AND(Plants!I95,"AAAAADntbfc=")</f>
        <v>#VALUE!</v>
      </c>
      <c r="IO22" t="e">
        <f>AND(Plants!J95,"AAAAADntbfg=")</f>
        <v>#VALUE!</v>
      </c>
      <c r="IP22" t="e">
        <f>AND(Plants!K95,"AAAAADntbfk=")</f>
        <v>#VALUE!</v>
      </c>
      <c r="IQ22" t="e">
        <f>AND(Plants!L95,"AAAAADntbfo=")</f>
        <v>#VALUE!</v>
      </c>
      <c r="IR22" t="e">
        <f>AND(Plants!M95,"AAAAADntbfs=")</f>
        <v>#VALUE!</v>
      </c>
      <c r="IS22" t="e">
        <f>AND(Plants!N95,"AAAAADntbfw=")</f>
        <v>#VALUE!</v>
      </c>
      <c r="IT22" t="e">
        <f>AND(Plants!O95,"AAAAADntbf0=")</f>
        <v>#VALUE!</v>
      </c>
      <c r="IU22" t="e">
        <f>AND(Plants!P95,"AAAAADntbf4=")</f>
        <v>#VALUE!</v>
      </c>
      <c r="IV22" t="e">
        <f>AND(Plants!Q95,"AAAAADntbf8=")</f>
        <v>#VALUE!</v>
      </c>
    </row>
    <row r="23" spans="1:256">
      <c r="A23" t="str">
        <f>IF(Plants!96:96,"AAAAAG2jOwA=",0)</f>
        <v>AAAAAG2jOwA=</v>
      </c>
      <c r="B23" t="e">
        <f>AND(Plants!A96,"AAAAAG2jOwE=")</f>
        <v>#VALUE!</v>
      </c>
      <c r="C23" t="e">
        <f>AND(Plants!B96,"AAAAAG2jOwI=")</f>
        <v>#VALUE!</v>
      </c>
      <c r="D23" t="e">
        <f>AND(Plants!C96,"AAAAAG2jOwM=")</f>
        <v>#VALUE!</v>
      </c>
      <c r="E23" t="e">
        <f>AND(Plants!D96,"AAAAAG2jOwQ=")</f>
        <v>#VALUE!</v>
      </c>
      <c r="F23" t="e">
        <f>AND(Plants!E96,"AAAAAG2jOwU=")</f>
        <v>#VALUE!</v>
      </c>
      <c r="G23" t="e">
        <f>AND(Plants!F96,"AAAAAG2jOwY=")</f>
        <v>#VALUE!</v>
      </c>
      <c r="H23" t="e">
        <f>AND(Plants!G96,"AAAAAG2jOwc=")</f>
        <v>#VALUE!</v>
      </c>
      <c r="I23" t="e">
        <f>AND(Plants!H96,"AAAAAG2jOwg=")</f>
        <v>#VALUE!</v>
      </c>
      <c r="J23" t="e">
        <f>AND(Plants!I96,"AAAAAG2jOwk=")</f>
        <v>#VALUE!</v>
      </c>
      <c r="K23" t="e">
        <f>AND(Plants!J96,"AAAAAG2jOwo=")</f>
        <v>#VALUE!</v>
      </c>
      <c r="L23" t="e">
        <f>AND(Plants!K96,"AAAAAG2jOws=")</f>
        <v>#VALUE!</v>
      </c>
      <c r="M23" t="e">
        <f>AND(Plants!L96,"AAAAAG2jOww=")</f>
        <v>#VALUE!</v>
      </c>
      <c r="N23" t="e">
        <f>AND(Plants!M96,"AAAAAG2jOw0=")</f>
        <v>#VALUE!</v>
      </c>
      <c r="O23" t="e">
        <f>AND(Plants!N96,"AAAAAG2jOw4=")</f>
        <v>#VALUE!</v>
      </c>
      <c r="P23" t="e">
        <f>AND(Plants!O96,"AAAAAG2jOw8=")</f>
        <v>#VALUE!</v>
      </c>
      <c r="Q23" t="e">
        <f>AND(Plants!P96,"AAAAAG2jOxA=")</f>
        <v>#VALUE!</v>
      </c>
      <c r="R23" t="e">
        <f>AND(Plants!Q96,"AAAAAG2jOxE=")</f>
        <v>#VALUE!</v>
      </c>
      <c r="S23">
        <f>IF(Plants!97:97,"AAAAAG2jOxI=",0)</f>
        <v>0</v>
      </c>
      <c r="T23" t="e">
        <f>AND(Plants!A97,"AAAAAG2jOxM=")</f>
        <v>#VALUE!</v>
      </c>
      <c r="U23" t="e">
        <f>AND(Plants!B97,"AAAAAG2jOxQ=")</f>
        <v>#VALUE!</v>
      </c>
      <c r="V23" t="e">
        <f>AND(Plants!C97,"AAAAAG2jOxU=")</f>
        <v>#VALUE!</v>
      </c>
      <c r="W23" t="e">
        <f>AND(Plants!D97,"AAAAAG2jOxY=")</f>
        <v>#VALUE!</v>
      </c>
      <c r="X23" t="e">
        <f>AND(Plants!E97,"AAAAAG2jOxc=")</f>
        <v>#VALUE!</v>
      </c>
      <c r="Y23" t="e">
        <f>AND(Plants!F97,"AAAAAG2jOxg=")</f>
        <v>#VALUE!</v>
      </c>
      <c r="Z23" t="e">
        <f>AND(Plants!G97,"AAAAAG2jOxk=")</f>
        <v>#VALUE!</v>
      </c>
      <c r="AA23" t="e">
        <f>AND(Plants!H97,"AAAAAG2jOxo=")</f>
        <v>#VALUE!</v>
      </c>
      <c r="AB23" t="e">
        <f>AND(Plants!I97,"AAAAAG2jOxs=")</f>
        <v>#VALUE!</v>
      </c>
      <c r="AC23" t="e">
        <f>AND(Plants!J97,"AAAAAG2jOxw=")</f>
        <v>#VALUE!</v>
      </c>
      <c r="AD23" t="e">
        <f>AND(Plants!K97,"AAAAAG2jOx0=")</f>
        <v>#VALUE!</v>
      </c>
      <c r="AE23" t="e">
        <f>AND(Plants!L97,"AAAAAG2jOx4=")</f>
        <v>#VALUE!</v>
      </c>
      <c r="AF23" t="e">
        <f>AND(Plants!M97,"AAAAAG2jOx8=")</f>
        <v>#VALUE!</v>
      </c>
      <c r="AG23" t="e">
        <f>AND(Plants!N97,"AAAAAG2jOyA=")</f>
        <v>#VALUE!</v>
      </c>
      <c r="AH23" t="e">
        <f>AND(Plants!O97,"AAAAAG2jOyE=")</f>
        <v>#VALUE!</v>
      </c>
      <c r="AI23" t="e">
        <f>AND(Plants!P97,"AAAAAG2jOyI=")</f>
        <v>#VALUE!</v>
      </c>
      <c r="AJ23" t="e">
        <f>AND(Plants!Q97,"AAAAAG2jOyM=")</f>
        <v>#VALUE!</v>
      </c>
      <c r="AK23">
        <f>IF(Plants!98:98,"AAAAAG2jOyQ=",0)</f>
        <v>0</v>
      </c>
      <c r="AL23" t="e">
        <f>AND(Plants!A98,"AAAAAG2jOyU=")</f>
        <v>#VALUE!</v>
      </c>
      <c r="AM23" t="e">
        <f>AND(Plants!B98,"AAAAAG2jOyY=")</f>
        <v>#VALUE!</v>
      </c>
      <c r="AN23" t="e">
        <f>AND(Plants!C98,"AAAAAG2jOyc=")</f>
        <v>#VALUE!</v>
      </c>
      <c r="AO23" t="e">
        <f>AND(Plants!D98,"AAAAAG2jOyg=")</f>
        <v>#VALUE!</v>
      </c>
      <c r="AP23" t="e">
        <f>AND(Plants!E98,"AAAAAG2jOyk=")</f>
        <v>#VALUE!</v>
      </c>
      <c r="AQ23" t="e">
        <f>AND(Plants!F98,"AAAAAG2jOyo=")</f>
        <v>#VALUE!</v>
      </c>
      <c r="AR23" t="e">
        <f>AND(Plants!G98,"AAAAAG2jOys=")</f>
        <v>#VALUE!</v>
      </c>
      <c r="AS23" t="e">
        <f>AND(Plants!H98,"AAAAAG2jOyw=")</f>
        <v>#VALUE!</v>
      </c>
      <c r="AT23" t="e">
        <f>AND(Plants!I98,"AAAAAG2jOy0=")</f>
        <v>#VALUE!</v>
      </c>
      <c r="AU23" t="e">
        <f>AND(Plants!J98,"AAAAAG2jOy4=")</f>
        <v>#VALUE!</v>
      </c>
      <c r="AV23" t="e">
        <f>AND(Plants!K98,"AAAAAG2jOy8=")</f>
        <v>#VALUE!</v>
      </c>
      <c r="AW23" t="e">
        <f>AND(Plants!L98,"AAAAAG2jOzA=")</f>
        <v>#VALUE!</v>
      </c>
      <c r="AX23" t="e">
        <f>AND(Plants!M98,"AAAAAG2jOzE=")</f>
        <v>#VALUE!</v>
      </c>
      <c r="AY23" t="e">
        <f>AND(Plants!N98,"AAAAAG2jOzI=")</f>
        <v>#VALUE!</v>
      </c>
      <c r="AZ23" t="e">
        <f>AND(Plants!O98,"AAAAAG2jOzM=")</f>
        <v>#VALUE!</v>
      </c>
      <c r="BA23" t="e">
        <f>AND(Plants!P98,"AAAAAG2jOzQ=")</f>
        <v>#VALUE!</v>
      </c>
      <c r="BB23" t="e">
        <f>AND(Plants!Q98,"AAAAAG2jOzU=")</f>
        <v>#VALUE!</v>
      </c>
      <c r="BC23">
        <f>IF(Plants!99:99,"AAAAAG2jOzY=",0)</f>
        <v>0</v>
      </c>
      <c r="BD23" t="e">
        <f>AND(Plants!A99,"AAAAAG2jOzc=")</f>
        <v>#VALUE!</v>
      </c>
      <c r="BE23" t="e">
        <f>AND(Plants!B99,"AAAAAG2jOzg=")</f>
        <v>#VALUE!</v>
      </c>
      <c r="BF23" t="e">
        <f>AND(Plants!C99,"AAAAAG2jOzk=")</f>
        <v>#VALUE!</v>
      </c>
      <c r="BG23" t="e">
        <f>AND(Plants!D99,"AAAAAG2jOzo=")</f>
        <v>#VALUE!</v>
      </c>
      <c r="BH23" t="e">
        <f>AND(Plants!E99,"AAAAAG2jOzs=")</f>
        <v>#VALUE!</v>
      </c>
      <c r="BI23" t="e">
        <f>AND(Plants!F99,"AAAAAG2jOzw=")</f>
        <v>#VALUE!</v>
      </c>
      <c r="BJ23" t="e">
        <f>AND(Plants!G99,"AAAAAG2jOz0=")</f>
        <v>#VALUE!</v>
      </c>
      <c r="BK23" t="e">
        <f>AND(Plants!H99,"AAAAAG2jOz4=")</f>
        <v>#VALUE!</v>
      </c>
      <c r="BL23" t="e">
        <f>AND(Plants!I99,"AAAAAG2jOz8=")</f>
        <v>#VALUE!</v>
      </c>
      <c r="BM23" t="e">
        <f>AND(Plants!J99,"AAAAAG2jO0A=")</f>
        <v>#VALUE!</v>
      </c>
      <c r="BN23" t="e">
        <f>AND(Plants!K99,"AAAAAG2jO0E=")</f>
        <v>#VALUE!</v>
      </c>
      <c r="BO23" t="e">
        <f>AND(Plants!L99,"AAAAAG2jO0I=")</f>
        <v>#VALUE!</v>
      </c>
      <c r="BP23" t="e">
        <f>AND(Plants!M99,"AAAAAG2jO0M=")</f>
        <v>#VALUE!</v>
      </c>
      <c r="BQ23" t="e">
        <f>AND(Plants!N99,"AAAAAG2jO0Q=")</f>
        <v>#VALUE!</v>
      </c>
      <c r="BR23" t="e">
        <f>AND(Plants!O99,"AAAAAG2jO0U=")</f>
        <v>#VALUE!</v>
      </c>
      <c r="BS23" t="e">
        <f>AND(Plants!P99,"AAAAAG2jO0Y=")</f>
        <v>#VALUE!</v>
      </c>
      <c r="BT23" t="e">
        <f>AND(Plants!Q99,"AAAAAG2jO0c=")</f>
        <v>#VALUE!</v>
      </c>
      <c r="BU23">
        <f>IF(Plants!100:100,"AAAAAG2jO0g=",0)</f>
        <v>0</v>
      </c>
      <c r="BV23" t="e">
        <f>AND(Plants!A100,"AAAAAG2jO0k=")</f>
        <v>#VALUE!</v>
      </c>
      <c r="BW23" t="e">
        <f>AND(Plants!B100,"AAAAAG2jO0o=")</f>
        <v>#VALUE!</v>
      </c>
      <c r="BX23" t="e">
        <f>AND(Plants!C100,"AAAAAG2jO0s=")</f>
        <v>#VALUE!</v>
      </c>
      <c r="BY23" t="e">
        <f>AND(Plants!D100,"AAAAAG2jO0w=")</f>
        <v>#VALUE!</v>
      </c>
      <c r="BZ23" t="e">
        <f>AND(Plants!E100,"AAAAAG2jO00=")</f>
        <v>#VALUE!</v>
      </c>
      <c r="CA23" t="e">
        <f>AND(Plants!F100,"AAAAAG2jO04=")</f>
        <v>#VALUE!</v>
      </c>
      <c r="CB23" t="e">
        <f>AND(Plants!G100,"AAAAAG2jO08=")</f>
        <v>#VALUE!</v>
      </c>
      <c r="CC23" t="e">
        <f>AND(Plants!H100,"AAAAAG2jO1A=")</f>
        <v>#VALUE!</v>
      </c>
      <c r="CD23" t="e">
        <f>AND(Plants!I100,"AAAAAG2jO1E=")</f>
        <v>#VALUE!</v>
      </c>
      <c r="CE23" t="e">
        <f>AND(Plants!J100,"AAAAAG2jO1I=")</f>
        <v>#VALUE!</v>
      </c>
      <c r="CF23" t="e">
        <f>AND(Plants!K100,"AAAAAG2jO1M=")</f>
        <v>#VALUE!</v>
      </c>
      <c r="CG23" t="e">
        <f>AND(Plants!L100,"AAAAAG2jO1Q=")</f>
        <v>#VALUE!</v>
      </c>
      <c r="CH23" t="e">
        <f>AND(Plants!M100,"AAAAAG2jO1U=")</f>
        <v>#VALUE!</v>
      </c>
      <c r="CI23" t="e">
        <f>AND(Plants!N100,"AAAAAG2jO1Y=")</f>
        <v>#VALUE!</v>
      </c>
      <c r="CJ23" t="e">
        <f>AND(Plants!O100,"AAAAAG2jO1c=")</f>
        <v>#VALUE!</v>
      </c>
      <c r="CK23" t="e">
        <f>AND(Plants!P100,"AAAAAG2jO1g=")</f>
        <v>#VALUE!</v>
      </c>
      <c r="CL23" t="e">
        <f>AND(Plants!Q100,"AAAAAG2jO1k=")</f>
        <v>#VALUE!</v>
      </c>
      <c r="CM23">
        <f>IF(Plants!101:101,"AAAAAG2jO1o=",0)</f>
        <v>0</v>
      </c>
      <c r="CN23" t="e">
        <f>AND(Plants!A101,"AAAAAG2jO1s=")</f>
        <v>#VALUE!</v>
      </c>
      <c r="CO23" t="e">
        <f>AND(Plants!B101,"AAAAAG2jO1w=")</f>
        <v>#VALUE!</v>
      </c>
      <c r="CP23" t="e">
        <f>AND(Plants!C101,"AAAAAG2jO10=")</f>
        <v>#VALUE!</v>
      </c>
      <c r="CQ23" t="e">
        <f>AND(Plants!D101,"AAAAAG2jO14=")</f>
        <v>#VALUE!</v>
      </c>
      <c r="CR23" t="e">
        <f>AND(Plants!E101,"AAAAAG2jO18=")</f>
        <v>#VALUE!</v>
      </c>
      <c r="CS23" t="e">
        <f>AND(Plants!F101,"AAAAAG2jO2A=")</f>
        <v>#VALUE!</v>
      </c>
      <c r="CT23" t="e">
        <f>AND(Plants!G101,"AAAAAG2jO2E=")</f>
        <v>#VALUE!</v>
      </c>
      <c r="CU23" t="e">
        <f>AND(Plants!H101,"AAAAAG2jO2I=")</f>
        <v>#VALUE!</v>
      </c>
      <c r="CV23" t="e">
        <f>AND(Plants!I101,"AAAAAG2jO2M=")</f>
        <v>#VALUE!</v>
      </c>
      <c r="CW23" t="e">
        <f>AND(Plants!J101,"AAAAAG2jO2Q=")</f>
        <v>#VALUE!</v>
      </c>
      <c r="CX23" t="e">
        <f>AND(Plants!K101,"AAAAAG2jO2U=")</f>
        <v>#VALUE!</v>
      </c>
      <c r="CY23" t="e">
        <f>AND(Plants!L101,"AAAAAG2jO2Y=")</f>
        <v>#VALUE!</v>
      </c>
      <c r="CZ23" t="e">
        <f>AND(Plants!M101,"AAAAAG2jO2c=")</f>
        <v>#VALUE!</v>
      </c>
      <c r="DA23" t="e">
        <f>AND(Plants!N101,"AAAAAG2jO2g=")</f>
        <v>#VALUE!</v>
      </c>
      <c r="DB23" t="e">
        <f>AND(Plants!O101,"AAAAAG2jO2k=")</f>
        <v>#VALUE!</v>
      </c>
      <c r="DC23" t="e">
        <f>AND(Plants!P101,"AAAAAG2jO2o=")</f>
        <v>#VALUE!</v>
      </c>
      <c r="DD23" t="e">
        <f>AND(Plants!Q101,"AAAAAG2jO2s=")</f>
        <v>#VALUE!</v>
      </c>
      <c r="DE23">
        <f>IF(Plants!102:102,"AAAAAG2jO2w=",0)</f>
        <v>0</v>
      </c>
      <c r="DF23" t="e">
        <f>AND(Plants!A102,"AAAAAG2jO20=")</f>
        <v>#VALUE!</v>
      </c>
      <c r="DG23" t="e">
        <f>AND(Plants!B102,"AAAAAG2jO24=")</f>
        <v>#VALUE!</v>
      </c>
      <c r="DH23" t="e">
        <f>AND(Plants!C102,"AAAAAG2jO28=")</f>
        <v>#VALUE!</v>
      </c>
      <c r="DI23" t="e">
        <f>AND(Plants!D102,"AAAAAG2jO3A=")</f>
        <v>#VALUE!</v>
      </c>
      <c r="DJ23" t="e">
        <f>AND(Plants!E102,"AAAAAG2jO3E=")</f>
        <v>#VALUE!</v>
      </c>
      <c r="DK23" t="e">
        <f>AND(Plants!F102,"AAAAAG2jO3I=")</f>
        <v>#VALUE!</v>
      </c>
      <c r="DL23" t="e">
        <f>AND(Plants!G102,"AAAAAG2jO3M=")</f>
        <v>#VALUE!</v>
      </c>
      <c r="DM23" t="e">
        <f>AND(Plants!H102,"AAAAAG2jO3Q=")</f>
        <v>#VALUE!</v>
      </c>
      <c r="DN23" t="e">
        <f>AND(Plants!I102,"AAAAAG2jO3U=")</f>
        <v>#VALUE!</v>
      </c>
      <c r="DO23" t="e">
        <f>AND(Plants!J102,"AAAAAG2jO3Y=")</f>
        <v>#VALUE!</v>
      </c>
      <c r="DP23" t="e">
        <f>AND(Plants!K102,"AAAAAG2jO3c=")</f>
        <v>#VALUE!</v>
      </c>
      <c r="DQ23" t="e">
        <f>AND(Plants!L102,"AAAAAG2jO3g=")</f>
        <v>#VALUE!</v>
      </c>
      <c r="DR23" t="e">
        <f>AND(Plants!M102,"AAAAAG2jO3k=")</f>
        <v>#VALUE!</v>
      </c>
      <c r="DS23" t="e">
        <f>AND(Plants!N102,"AAAAAG2jO3o=")</f>
        <v>#VALUE!</v>
      </c>
      <c r="DT23" t="e">
        <f>AND(Plants!O102,"AAAAAG2jO3s=")</f>
        <v>#VALUE!</v>
      </c>
      <c r="DU23" t="e">
        <f>AND(Plants!P102,"AAAAAG2jO3w=")</f>
        <v>#VALUE!</v>
      </c>
      <c r="DV23" t="e">
        <f>AND(Plants!Q102,"AAAAAG2jO30=")</f>
        <v>#VALUE!</v>
      </c>
      <c r="DW23">
        <f>IF(Plants!103:103,"AAAAAG2jO34=",0)</f>
        <v>0</v>
      </c>
      <c r="DX23" t="e">
        <f>AND(Plants!A103,"AAAAAG2jO38=")</f>
        <v>#VALUE!</v>
      </c>
      <c r="DY23" t="e">
        <f>AND(Plants!B103,"AAAAAG2jO4A=")</f>
        <v>#VALUE!</v>
      </c>
      <c r="DZ23" t="e">
        <f>AND(Plants!C103,"AAAAAG2jO4E=")</f>
        <v>#VALUE!</v>
      </c>
      <c r="EA23" t="e">
        <f>AND(Plants!D103,"AAAAAG2jO4I=")</f>
        <v>#VALUE!</v>
      </c>
      <c r="EB23" t="e">
        <f>AND(Plants!E103,"AAAAAG2jO4M=")</f>
        <v>#VALUE!</v>
      </c>
      <c r="EC23" t="e">
        <f>AND(Plants!F103,"AAAAAG2jO4Q=")</f>
        <v>#VALUE!</v>
      </c>
      <c r="ED23" t="e">
        <f>AND(Plants!G103,"AAAAAG2jO4U=")</f>
        <v>#VALUE!</v>
      </c>
      <c r="EE23" t="e">
        <f>AND(Plants!H103,"AAAAAG2jO4Y=")</f>
        <v>#VALUE!</v>
      </c>
      <c r="EF23" t="e">
        <f>AND(Plants!I103,"AAAAAG2jO4c=")</f>
        <v>#VALUE!</v>
      </c>
      <c r="EG23" t="e">
        <f>AND(Plants!J103,"AAAAAG2jO4g=")</f>
        <v>#VALUE!</v>
      </c>
      <c r="EH23" t="e">
        <f>AND(Plants!K103,"AAAAAG2jO4k=")</f>
        <v>#VALUE!</v>
      </c>
      <c r="EI23" t="e">
        <f>AND(Plants!L103,"AAAAAG2jO4o=")</f>
        <v>#VALUE!</v>
      </c>
      <c r="EJ23" t="e">
        <f>AND(Plants!M103,"AAAAAG2jO4s=")</f>
        <v>#VALUE!</v>
      </c>
      <c r="EK23" t="e">
        <f>AND(Plants!N103,"AAAAAG2jO4w=")</f>
        <v>#VALUE!</v>
      </c>
      <c r="EL23" t="e">
        <f>AND(Plants!O103,"AAAAAG2jO40=")</f>
        <v>#VALUE!</v>
      </c>
      <c r="EM23" t="e">
        <f>AND(Plants!P103,"AAAAAG2jO44=")</f>
        <v>#VALUE!</v>
      </c>
      <c r="EN23" t="e">
        <f>AND(Plants!Q103,"AAAAAG2jO48=")</f>
        <v>#VALUE!</v>
      </c>
      <c r="EO23">
        <f>IF(Plants!104:104,"AAAAAG2jO5A=",0)</f>
        <v>0</v>
      </c>
      <c r="EP23" t="e">
        <f>AND(Plants!A104,"AAAAAG2jO5E=")</f>
        <v>#VALUE!</v>
      </c>
      <c r="EQ23" t="e">
        <f>AND(Plants!B104,"AAAAAG2jO5I=")</f>
        <v>#VALUE!</v>
      </c>
      <c r="ER23" t="e">
        <f>AND(Plants!C104,"AAAAAG2jO5M=")</f>
        <v>#VALUE!</v>
      </c>
      <c r="ES23" t="e">
        <f>AND(Plants!D104,"AAAAAG2jO5Q=")</f>
        <v>#VALUE!</v>
      </c>
      <c r="ET23" t="e">
        <f>AND(Plants!E104,"AAAAAG2jO5U=")</f>
        <v>#VALUE!</v>
      </c>
      <c r="EU23" t="e">
        <f>AND(Plants!F104,"AAAAAG2jO5Y=")</f>
        <v>#VALUE!</v>
      </c>
      <c r="EV23" t="e">
        <f>AND(Plants!G104,"AAAAAG2jO5c=")</f>
        <v>#VALUE!</v>
      </c>
      <c r="EW23" t="e">
        <f>AND(Plants!H104,"AAAAAG2jO5g=")</f>
        <v>#VALUE!</v>
      </c>
      <c r="EX23" t="e">
        <f>AND(Plants!I104,"AAAAAG2jO5k=")</f>
        <v>#VALUE!</v>
      </c>
      <c r="EY23" t="e">
        <f>AND(Plants!J104,"AAAAAG2jO5o=")</f>
        <v>#VALUE!</v>
      </c>
      <c r="EZ23" t="e">
        <f>AND(Plants!K104,"AAAAAG2jO5s=")</f>
        <v>#VALUE!</v>
      </c>
      <c r="FA23" t="e">
        <f>AND(Plants!L104,"AAAAAG2jO5w=")</f>
        <v>#VALUE!</v>
      </c>
      <c r="FB23" t="e">
        <f>AND(Plants!M104,"AAAAAG2jO50=")</f>
        <v>#VALUE!</v>
      </c>
      <c r="FC23" t="e">
        <f>AND(Plants!N104,"AAAAAG2jO54=")</f>
        <v>#VALUE!</v>
      </c>
      <c r="FD23" t="e">
        <f>AND(Plants!O104,"AAAAAG2jO58=")</f>
        <v>#VALUE!</v>
      </c>
      <c r="FE23" t="e">
        <f>AND(Plants!P104,"AAAAAG2jO6A=")</f>
        <v>#VALUE!</v>
      </c>
      <c r="FF23" t="e">
        <f>AND(Plants!Q104,"AAAAAG2jO6E=")</f>
        <v>#VALUE!</v>
      </c>
      <c r="FG23">
        <f>IF(Plants!105:105,"AAAAAG2jO6I=",0)</f>
        <v>0</v>
      </c>
      <c r="FH23" t="e">
        <f>AND(Plants!A105,"AAAAAG2jO6M=")</f>
        <v>#VALUE!</v>
      </c>
      <c r="FI23" t="e">
        <f>AND(Plants!B105,"AAAAAG2jO6Q=")</f>
        <v>#VALUE!</v>
      </c>
      <c r="FJ23" t="e">
        <f>AND(Plants!C105,"AAAAAG2jO6U=")</f>
        <v>#VALUE!</v>
      </c>
      <c r="FK23" t="e">
        <f>AND(Plants!D105,"AAAAAG2jO6Y=")</f>
        <v>#VALUE!</v>
      </c>
      <c r="FL23" t="e">
        <f>AND(Plants!E105,"AAAAAG2jO6c=")</f>
        <v>#VALUE!</v>
      </c>
      <c r="FM23" t="e">
        <f>AND(Plants!F105,"AAAAAG2jO6g=")</f>
        <v>#VALUE!</v>
      </c>
      <c r="FN23" t="e">
        <f>AND(Plants!G105,"AAAAAG2jO6k=")</f>
        <v>#VALUE!</v>
      </c>
      <c r="FO23" t="e">
        <f>AND(Plants!H105,"AAAAAG2jO6o=")</f>
        <v>#VALUE!</v>
      </c>
      <c r="FP23" t="e">
        <f>AND(Plants!I105,"AAAAAG2jO6s=")</f>
        <v>#VALUE!</v>
      </c>
      <c r="FQ23" t="e">
        <f>AND(Plants!J105,"AAAAAG2jO6w=")</f>
        <v>#VALUE!</v>
      </c>
      <c r="FR23" t="e">
        <f>AND(Plants!K105,"AAAAAG2jO60=")</f>
        <v>#VALUE!</v>
      </c>
      <c r="FS23" t="e">
        <f>AND(Plants!L105,"AAAAAG2jO64=")</f>
        <v>#VALUE!</v>
      </c>
      <c r="FT23" t="e">
        <f>AND(Plants!M105,"AAAAAG2jO68=")</f>
        <v>#VALUE!</v>
      </c>
      <c r="FU23" t="e">
        <f>AND(Plants!N105,"AAAAAG2jO7A=")</f>
        <v>#VALUE!</v>
      </c>
      <c r="FV23" t="e">
        <f>AND(Plants!O105,"AAAAAG2jO7E=")</f>
        <v>#VALUE!</v>
      </c>
      <c r="FW23" t="e">
        <f>AND(Plants!P105,"AAAAAG2jO7I=")</f>
        <v>#VALUE!</v>
      </c>
      <c r="FX23" t="e">
        <f>AND(Plants!Q105,"AAAAAG2jO7M=")</f>
        <v>#VALUE!</v>
      </c>
      <c r="FY23">
        <f>IF(Plants!106:106,"AAAAAG2jO7Q=",0)</f>
        <v>0</v>
      </c>
      <c r="FZ23" t="e">
        <f>AND(Plants!A106,"AAAAAG2jO7U=")</f>
        <v>#VALUE!</v>
      </c>
      <c r="GA23" t="e">
        <f>AND(Plants!B106,"AAAAAG2jO7Y=")</f>
        <v>#VALUE!</v>
      </c>
      <c r="GB23" t="e">
        <f>AND(Plants!C106,"AAAAAG2jO7c=")</f>
        <v>#VALUE!</v>
      </c>
      <c r="GC23" t="e">
        <f>AND(Plants!D106,"AAAAAG2jO7g=")</f>
        <v>#VALUE!</v>
      </c>
      <c r="GD23" t="e">
        <f>AND(Plants!E106,"AAAAAG2jO7k=")</f>
        <v>#VALUE!</v>
      </c>
      <c r="GE23" t="e">
        <f>AND(Plants!F106,"AAAAAG2jO7o=")</f>
        <v>#VALUE!</v>
      </c>
      <c r="GF23" t="e">
        <f>AND(Plants!G106,"AAAAAG2jO7s=")</f>
        <v>#VALUE!</v>
      </c>
      <c r="GG23" t="e">
        <f>AND(Plants!H106,"AAAAAG2jO7w=")</f>
        <v>#VALUE!</v>
      </c>
      <c r="GH23" t="e">
        <f>AND(Plants!I106,"AAAAAG2jO70=")</f>
        <v>#VALUE!</v>
      </c>
      <c r="GI23" t="e">
        <f>AND(Plants!J106,"AAAAAG2jO74=")</f>
        <v>#VALUE!</v>
      </c>
      <c r="GJ23" t="e">
        <f>AND(Plants!K106,"AAAAAG2jO78=")</f>
        <v>#VALUE!</v>
      </c>
      <c r="GK23" t="e">
        <f>AND(Plants!L106,"AAAAAG2jO8A=")</f>
        <v>#VALUE!</v>
      </c>
      <c r="GL23" t="e">
        <f>AND(Plants!M106,"AAAAAG2jO8E=")</f>
        <v>#VALUE!</v>
      </c>
      <c r="GM23" t="e">
        <f>AND(Plants!N106,"AAAAAG2jO8I=")</f>
        <v>#VALUE!</v>
      </c>
      <c r="GN23" t="e">
        <f>AND(Plants!O106,"AAAAAG2jO8M=")</f>
        <v>#VALUE!</v>
      </c>
      <c r="GO23" t="e">
        <f>AND(Plants!P106,"AAAAAG2jO8Q=")</f>
        <v>#VALUE!</v>
      </c>
      <c r="GP23" t="e">
        <f>AND(Plants!Q106,"AAAAAG2jO8U=")</f>
        <v>#VALUE!</v>
      </c>
      <c r="GQ23">
        <f>IF(Plants!107:107,"AAAAAG2jO8Y=",0)</f>
        <v>0</v>
      </c>
      <c r="GR23" t="e">
        <f>AND(Plants!A107,"AAAAAG2jO8c=")</f>
        <v>#VALUE!</v>
      </c>
      <c r="GS23" t="e">
        <f>AND(Plants!B107,"AAAAAG2jO8g=")</f>
        <v>#VALUE!</v>
      </c>
      <c r="GT23" t="e">
        <f>AND(Plants!C107,"AAAAAG2jO8k=")</f>
        <v>#VALUE!</v>
      </c>
      <c r="GU23" t="e">
        <f>AND(Plants!D107,"AAAAAG2jO8o=")</f>
        <v>#VALUE!</v>
      </c>
      <c r="GV23" t="e">
        <f>AND(Plants!E107,"AAAAAG2jO8s=")</f>
        <v>#VALUE!</v>
      </c>
      <c r="GW23" t="e">
        <f>AND(Plants!F107,"AAAAAG2jO8w=")</f>
        <v>#VALUE!</v>
      </c>
      <c r="GX23" t="e">
        <f>AND(Plants!G107,"AAAAAG2jO80=")</f>
        <v>#VALUE!</v>
      </c>
      <c r="GY23" t="e">
        <f>AND(Plants!H107,"AAAAAG2jO84=")</f>
        <v>#VALUE!</v>
      </c>
      <c r="GZ23" t="e">
        <f>AND(Plants!I107,"AAAAAG2jO88=")</f>
        <v>#VALUE!</v>
      </c>
      <c r="HA23" t="e">
        <f>AND(Plants!J107,"AAAAAG2jO9A=")</f>
        <v>#VALUE!</v>
      </c>
      <c r="HB23" t="e">
        <f>AND(Plants!K107,"AAAAAG2jO9E=")</f>
        <v>#VALUE!</v>
      </c>
      <c r="HC23" t="e">
        <f>AND(Plants!L107,"AAAAAG2jO9I=")</f>
        <v>#VALUE!</v>
      </c>
      <c r="HD23" t="e">
        <f>AND(Plants!M107,"AAAAAG2jO9M=")</f>
        <v>#VALUE!</v>
      </c>
      <c r="HE23" t="e">
        <f>AND(Plants!N107,"AAAAAG2jO9Q=")</f>
        <v>#VALUE!</v>
      </c>
      <c r="HF23" t="e">
        <f>AND(Plants!O107,"AAAAAG2jO9U=")</f>
        <v>#VALUE!</v>
      </c>
      <c r="HG23" t="e">
        <f>AND(Plants!P107,"AAAAAG2jO9Y=")</f>
        <v>#VALUE!</v>
      </c>
      <c r="HH23" t="e">
        <f>AND(Plants!Q107,"AAAAAG2jO9c=")</f>
        <v>#VALUE!</v>
      </c>
      <c r="HI23">
        <f>IF(Plants!108:108,"AAAAAG2jO9g=",0)</f>
        <v>0</v>
      </c>
      <c r="HJ23" t="e">
        <f>AND(Plants!A108,"AAAAAG2jO9k=")</f>
        <v>#VALUE!</v>
      </c>
      <c r="HK23" t="e">
        <f>AND(Plants!B108,"AAAAAG2jO9o=")</f>
        <v>#VALUE!</v>
      </c>
      <c r="HL23" t="e">
        <f>AND(Plants!C108,"AAAAAG2jO9s=")</f>
        <v>#VALUE!</v>
      </c>
      <c r="HM23" t="e">
        <f>AND(Plants!D108,"AAAAAG2jO9w=")</f>
        <v>#VALUE!</v>
      </c>
      <c r="HN23" t="e">
        <f>AND(Plants!E108,"AAAAAG2jO90=")</f>
        <v>#VALUE!</v>
      </c>
      <c r="HO23" t="e">
        <f>AND(Plants!F108,"AAAAAG2jO94=")</f>
        <v>#VALUE!</v>
      </c>
      <c r="HP23" t="e">
        <f>AND(Plants!G108,"AAAAAG2jO98=")</f>
        <v>#VALUE!</v>
      </c>
      <c r="HQ23" t="e">
        <f>AND(Plants!H108,"AAAAAG2jO+A=")</f>
        <v>#VALUE!</v>
      </c>
      <c r="HR23" t="e">
        <f>AND(Plants!I108,"AAAAAG2jO+E=")</f>
        <v>#VALUE!</v>
      </c>
      <c r="HS23" t="e">
        <f>AND(Plants!J108,"AAAAAG2jO+I=")</f>
        <v>#VALUE!</v>
      </c>
      <c r="HT23" t="e">
        <f>AND(Plants!K108,"AAAAAG2jO+M=")</f>
        <v>#VALUE!</v>
      </c>
      <c r="HU23" t="e">
        <f>AND(Plants!L108,"AAAAAG2jO+Q=")</f>
        <v>#VALUE!</v>
      </c>
      <c r="HV23" t="e">
        <f>AND(Plants!M108,"AAAAAG2jO+U=")</f>
        <v>#VALUE!</v>
      </c>
      <c r="HW23" t="e">
        <f>AND(Plants!N108,"AAAAAG2jO+Y=")</f>
        <v>#VALUE!</v>
      </c>
      <c r="HX23" t="e">
        <f>AND(Plants!O108,"AAAAAG2jO+c=")</f>
        <v>#VALUE!</v>
      </c>
      <c r="HY23" t="e">
        <f>AND(Plants!P108,"AAAAAG2jO+g=")</f>
        <v>#VALUE!</v>
      </c>
      <c r="HZ23" t="e">
        <f>AND(Plants!Q108,"AAAAAG2jO+k=")</f>
        <v>#VALUE!</v>
      </c>
      <c r="IA23">
        <f>IF(Plants!109:109,"AAAAAG2jO+o=",0)</f>
        <v>0</v>
      </c>
      <c r="IB23" t="e">
        <f>AND(Plants!A109,"AAAAAG2jO+s=")</f>
        <v>#VALUE!</v>
      </c>
      <c r="IC23" t="e">
        <f>AND(Plants!B109,"AAAAAG2jO+w=")</f>
        <v>#VALUE!</v>
      </c>
      <c r="ID23" t="e">
        <f>AND(Plants!C109,"AAAAAG2jO+0=")</f>
        <v>#VALUE!</v>
      </c>
      <c r="IE23" t="e">
        <f>AND(Plants!D109,"AAAAAG2jO+4=")</f>
        <v>#VALUE!</v>
      </c>
      <c r="IF23" t="e">
        <f>AND(Plants!E109,"AAAAAG2jO+8=")</f>
        <v>#VALUE!</v>
      </c>
      <c r="IG23" t="e">
        <f>AND(Plants!F109,"AAAAAG2jO/A=")</f>
        <v>#VALUE!</v>
      </c>
      <c r="IH23" t="e">
        <f>AND(Plants!G109,"AAAAAG2jO/E=")</f>
        <v>#VALUE!</v>
      </c>
      <c r="II23" t="e">
        <f>AND(Plants!H109,"AAAAAG2jO/I=")</f>
        <v>#VALUE!</v>
      </c>
      <c r="IJ23" t="e">
        <f>AND(Plants!I109,"AAAAAG2jO/M=")</f>
        <v>#VALUE!</v>
      </c>
      <c r="IK23" t="e">
        <f>AND(Plants!J109,"AAAAAG2jO/Q=")</f>
        <v>#VALUE!</v>
      </c>
      <c r="IL23" t="e">
        <f>AND(Plants!K109,"AAAAAG2jO/U=")</f>
        <v>#VALUE!</v>
      </c>
      <c r="IM23" t="e">
        <f>AND(Plants!L109,"AAAAAG2jO/Y=")</f>
        <v>#VALUE!</v>
      </c>
      <c r="IN23" t="e">
        <f>AND(Plants!M109,"AAAAAG2jO/c=")</f>
        <v>#VALUE!</v>
      </c>
      <c r="IO23" t="e">
        <f>AND(Plants!N109,"AAAAAG2jO/g=")</f>
        <v>#VALUE!</v>
      </c>
      <c r="IP23" t="e">
        <f>AND(Plants!O109,"AAAAAG2jO/k=")</f>
        <v>#VALUE!</v>
      </c>
      <c r="IQ23" t="e">
        <f>AND(Plants!P109,"AAAAAG2jO/o=")</f>
        <v>#VALUE!</v>
      </c>
      <c r="IR23" t="e">
        <f>AND(Plants!Q109,"AAAAAG2jO/s=")</f>
        <v>#VALUE!</v>
      </c>
      <c r="IS23">
        <f>IF(Plants!110:110,"AAAAAG2jO/w=",0)</f>
        <v>0</v>
      </c>
      <c r="IT23" t="e">
        <f>AND(Plants!A110,"AAAAAG2jO/0=")</f>
        <v>#VALUE!</v>
      </c>
      <c r="IU23" t="e">
        <f>AND(Plants!B110,"AAAAAG2jO/4=")</f>
        <v>#VALUE!</v>
      </c>
      <c r="IV23" t="e">
        <f>AND(Plants!C110,"AAAAAG2jO/8=")</f>
        <v>#VALUE!</v>
      </c>
    </row>
    <row r="24" spans="1:256">
      <c r="A24" t="e">
        <f>AND(Plants!D110,"AAAAAF3P+QA=")</f>
        <v>#VALUE!</v>
      </c>
      <c r="B24" t="e">
        <f>AND(Plants!E110,"AAAAAF3P+QE=")</f>
        <v>#VALUE!</v>
      </c>
      <c r="C24" t="e">
        <f>AND(Plants!F110,"AAAAAF3P+QI=")</f>
        <v>#VALUE!</v>
      </c>
      <c r="D24" t="e">
        <f>AND(Plants!G110,"AAAAAF3P+QM=")</f>
        <v>#VALUE!</v>
      </c>
      <c r="E24" t="e">
        <f>AND(Plants!H110,"AAAAAF3P+QQ=")</f>
        <v>#VALUE!</v>
      </c>
      <c r="F24" t="e">
        <f>AND(Plants!I110,"AAAAAF3P+QU=")</f>
        <v>#VALUE!</v>
      </c>
      <c r="G24" t="e">
        <f>AND(Plants!J110,"AAAAAF3P+QY=")</f>
        <v>#VALUE!</v>
      </c>
      <c r="H24" t="e">
        <f>AND(Plants!K110,"AAAAAF3P+Qc=")</f>
        <v>#VALUE!</v>
      </c>
      <c r="I24" t="e">
        <f>AND(Plants!L110,"AAAAAF3P+Qg=")</f>
        <v>#VALUE!</v>
      </c>
      <c r="J24" t="e">
        <f>AND(Plants!M110,"AAAAAF3P+Qk=")</f>
        <v>#VALUE!</v>
      </c>
      <c r="K24" t="e">
        <f>AND(Plants!N110,"AAAAAF3P+Qo=")</f>
        <v>#VALUE!</v>
      </c>
      <c r="L24" t="e">
        <f>AND(Plants!O110,"AAAAAF3P+Qs=")</f>
        <v>#VALUE!</v>
      </c>
      <c r="M24" t="e">
        <f>AND(Plants!P110,"AAAAAF3P+Qw=")</f>
        <v>#VALUE!</v>
      </c>
      <c r="N24" t="e">
        <f>AND(Plants!Q110,"AAAAAF3P+Q0=")</f>
        <v>#VALUE!</v>
      </c>
      <c r="O24">
        <f>IF(Plants!111:111,"AAAAAF3P+Q4=",0)</f>
        <v>0</v>
      </c>
      <c r="P24" t="e">
        <f>AND(Plants!A111,"AAAAAF3P+Q8=")</f>
        <v>#VALUE!</v>
      </c>
      <c r="Q24" t="e">
        <f>AND(Plants!B111,"AAAAAF3P+RA=")</f>
        <v>#VALUE!</v>
      </c>
      <c r="R24" t="e">
        <f>AND(Plants!C111,"AAAAAF3P+RE=")</f>
        <v>#VALUE!</v>
      </c>
      <c r="S24" t="e">
        <f>AND(Plants!D111,"AAAAAF3P+RI=")</f>
        <v>#VALUE!</v>
      </c>
      <c r="T24" t="e">
        <f>AND(Plants!E111,"AAAAAF3P+RM=")</f>
        <v>#VALUE!</v>
      </c>
      <c r="U24" t="e">
        <f>AND(Plants!F111,"AAAAAF3P+RQ=")</f>
        <v>#VALUE!</v>
      </c>
      <c r="V24" t="e">
        <f>AND(Plants!G111,"AAAAAF3P+RU=")</f>
        <v>#VALUE!</v>
      </c>
      <c r="W24" t="e">
        <f>AND(Plants!H111,"AAAAAF3P+RY=")</f>
        <v>#VALUE!</v>
      </c>
      <c r="X24" t="e">
        <f>AND(Plants!I111,"AAAAAF3P+Rc=")</f>
        <v>#VALUE!</v>
      </c>
      <c r="Y24" t="e">
        <f>AND(Plants!J111,"AAAAAF3P+Rg=")</f>
        <v>#VALUE!</v>
      </c>
      <c r="Z24" t="e">
        <f>AND(Plants!K111,"AAAAAF3P+Rk=")</f>
        <v>#VALUE!</v>
      </c>
      <c r="AA24" t="e">
        <f>AND(Plants!L111,"AAAAAF3P+Ro=")</f>
        <v>#VALUE!</v>
      </c>
      <c r="AB24" t="e">
        <f>AND(Plants!M111,"AAAAAF3P+Rs=")</f>
        <v>#VALUE!</v>
      </c>
      <c r="AC24" t="e">
        <f>AND(Plants!N111,"AAAAAF3P+Rw=")</f>
        <v>#VALUE!</v>
      </c>
      <c r="AD24" t="e">
        <f>AND(Plants!O111,"AAAAAF3P+R0=")</f>
        <v>#VALUE!</v>
      </c>
      <c r="AE24" t="e">
        <f>AND(Plants!P111,"AAAAAF3P+R4=")</f>
        <v>#VALUE!</v>
      </c>
      <c r="AF24" t="e">
        <f>AND(Plants!Q111,"AAAAAF3P+R8=")</f>
        <v>#VALUE!</v>
      </c>
      <c r="AG24">
        <f>IF(Plants!112:112,"AAAAAF3P+SA=",0)</f>
        <v>0</v>
      </c>
      <c r="AH24" t="e">
        <f>AND(Plants!A112,"AAAAAF3P+SE=")</f>
        <v>#VALUE!</v>
      </c>
      <c r="AI24" t="e">
        <f>AND(Plants!B112,"AAAAAF3P+SI=")</f>
        <v>#VALUE!</v>
      </c>
      <c r="AJ24" t="e">
        <f>AND(Plants!C112,"AAAAAF3P+SM=")</f>
        <v>#VALUE!</v>
      </c>
      <c r="AK24" t="e">
        <f>AND(Plants!D112,"AAAAAF3P+SQ=")</f>
        <v>#VALUE!</v>
      </c>
      <c r="AL24" t="e">
        <f>AND(Plants!E112,"AAAAAF3P+SU=")</f>
        <v>#VALUE!</v>
      </c>
      <c r="AM24" t="e">
        <f>AND(Plants!F112,"AAAAAF3P+SY=")</f>
        <v>#VALUE!</v>
      </c>
      <c r="AN24" t="e">
        <f>AND(Plants!G112,"AAAAAF3P+Sc=")</f>
        <v>#VALUE!</v>
      </c>
      <c r="AO24" t="e">
        <f>AND(Plants!H112,"AAAAAF3P+Sg=")</f>
        <v>#VALUE!</v>
      </c>
      <c r="AP24" t="e">
        <f>AND(Plants!I112,"AAAAAF3P+Sk=")</f>
        <v>#VALUE!</v>
      </c>
      <c r="AQ24" t="e">
        <f>AND(Plants!J112,"AAAAAF3P+So=")</f>
        <v>#VALUE!</v>
      </c>
      <c r="AR24" t="e">
        <f>AND(Plants!K112,"AAAAAF3P+Ss=")</f>
        <v>#VALUE!</v>
      </c>
      <c r="AS24" t="e">
        <f>AND(Plants!L112,"AAAAAF3P+Sw=")</f>
        <v>#VALUE!</v>
      </c>
      <c r="AT24" t="e">
        <f>AND(Plants!M112,"AAAAAF3P+S0=")</f>
        <v>#VALUE!</v>
      </c>
      <c r="AU24" t="e">
        <f>AND(Plants!N112,"AAAAAF3P+S4=")</f>
        <v>#VALUE!</v>
      </c>
      <c r="AV24" t="e">
        <f>AND(Plants!O112,"AAAAAF3P+S8=")</f>
        <v>#VALUE!</v>
      </c>
      <c r="AW24" t="e">
        <f>AND(Plants!P112,"AAAAAF3P+TA=")</f>
        <v>#VALUE!</v>
      </c>
      <c r="AX24" t="e">
        <f>AND(Plants!Q112,"AAAAAF3P+TE=")</f>
        <v>#VALUE!</v>
      </c>
      <c r="AY24">
        <f>IF(Plants!113:113,"AAAAAF3P+TI=",0)</f>
        <v>0</v>
      </c>
      <c r="AZ24" t="e">
        <f>AND(Plants!A113,"AAAAAF3P+TM=")</f>
        <v>#VALUE!</v>
      </c>
      <c r="BA24" t="e">
        <f>AND(Plants!B113,"AAAAAF3P+TQ=")</f>
        <v>#VALUE!</v>
      </c>
      <c r="BB24" t="e">
        <f>AND(Plants!C113,"AAAAAF3P+TU=")</f>
        <v>#VALUE!</v>
      </c>
      <c r="BC24" t="e">
        <f>AND(Plants!D113,"AAAAAF3P+TY=")</f>
        <v>#VALUE!</v>
      </c>
      <c r="BD24" t="e">
        <f>AND(Plants!E113,"AAAAAF3P+Tc=")</f>
        <v>#VALUE!</v>
      </c>
      <c r="BE24" t="e">
        <f>AND(Plants!F113,"AAAAAF3P+Tg=")</f>
        <v>#VALUE!</v>
      </c>
      <c r="BF24" t="e">
        <f>AND(Plants!G113,"AAAAAF3P+Tk=")</f>
        <v>#VALUE!</v>
      </c>
      <c r="BG24" t="e">
        <f>AND(Plants!H113,"AAAAAF3P+To=")</f>
        <v>#VALUE!</v>
      </c>
      <c r="BH24" t="e">
        <f>AND(Plants!I113,"AAAAAF3P+Ts=")</f>
        <v>#VALUE!</v>
      </c>
      <c r="BI24" t="e">
        <f>AND(Plants!J113,"AAAAAF3P+Tw=")</f>
        <v>#VALUE!</v>
      </c>
      <c r="BJ24" t="e">
        <f>AND(Plants!K113,"AAAAAF3P+T0=")</f>
        <v>#VALUE!</v>
      </c>
      <c r="BK24" t="e">
        <f>AND(Plants!L113,"AAAAAF3P+T4=")</f>
        <v>#VALUE!</v>
      </c>
      <c r="BL24" t="e">
        <f>AND(Plants!M113,"AAAAAF3P+T8=")</f>
        <v>#VALUE!</v>
      </c>
      <c r="BM24" t="e">
        <f>AND(Plants!N113,"AAAAAF3P+UA=")</f>
        <v>#VALUE!</v>
      </c>
      <c r="BN24" t="e">
        <f>AND(Plants!O113,"AAAAAF3P+UE=")</f>
        <v>#VALUE!</v>
      </c>
      <c r="BO24" t="e">
        <f>AND(Plants!P113,"AAAAAF3P+UI=")</f>
        <v>#VALUE!</v>
      </c>
      <c r="BP24" t="e">
        <f>AND(Plants!Q113,"AAAAAF3P+UM=")</f>
        <v>#VALUE!</v>
      </c>
      <c r="BQ24">
        <f>IF(Plants!114:114,"AAAAAF3P+UQ=",0)</f>
        <v>0</v>
      </c>
      <c r="BR24" t="e">
        <f>AND(Plants!A114,"AAAAAF3P+UU=")</f>
        <v>#VALUE!</v>
      </c>
      <c r="BS24" t="e">
        <f>AND(Plants!B114,"AAAAAF3P+UY=")</f>
        <v>#VALUE!</v>
      </c>
      <c r="BT24" t="e">
        <f>AND(Plants!C114,"AAAAAF3P+Uc=")</f>
        <v>#VALUE!</v>
      </c>
      <c r="BU24" t="e">
        <f>AND(Plants!D114,"AAAAAF3P+Ug=")</f>
        <v>#VALUE!</v>
      </c>
      <c r="BV24" t="e">
        <f>AND(Plants!E114,"AAAAAF3P+Uk=")</f>
        <v>#VALUE!</v>
      </c>
      <c r="BW24" t="e">
        <f>AND(Plants!F114,"AAAAAF3P+Uo=")</f>
        <v>#VALUE!</v>
      </c>
      <c r="BX24" t="e">
        <f>AND(Plants!G114,"AAAAAF3P+Us=")</f>
        <v>#VALUE!</v>
      </c>
      <c r="BY24" t="e">
        <f>AND(Plants!H114,"AAAAAF3P+Uw=")</f>
        <v>#VALUE!</v>
      </c>
      <c r="BZ24" t="e">
        <f>AND(Plants!I114,"AAAAAF3P+U0=")</f>
        <v>#VALUE!</v>
      </c>
      <c r="CA24" t="e">
        <f>AND(Plants!J114,"AAAAAF3P+U4=")</f>
        <v>#VALUE!</v>
      </c>
      <c r="CB24" t="e">
        <f>AND(Plants!K114,"AAAAAF3P+U8=")</f>
        <v>#VALUE!</v>
      </c>
      <c r="CC24" t="e">
        <f>AND(Plants!L114,"AAAAAF3P+VA=")</f>
        <v>#VALUE!</v>
      </c>
      <c r="CD24" t="e">
        <f>AND(Plants!M114,"AAAAAF3P+VE=")</f>
        <v>#VALUE!</v>
      </c>
      <c r="CE24" t="e">
        <f>AND(Plants!N114,"AAAAAF3P+VI=")</f>
        <v>#VALUE!</v>
      </c>
      <c r="CF24" t="e">
        <f>AND(Plants!O114,"AAAAAF3P+VM=")</f>
        <v>#VALUE!</v>
      </c>
      <c r="CG24" t="e">
        <f>AND(Plants!P114,"AAAAAF3P+VQ=")</f>
        <v>#VALUE!</v>
      </c>
      <c r="CH24" t="e">
        <f>AND(Plants!Q114,"AAAAAF3P+VU=")</f>
        <v>#VALUE!</v>
      </c>
      <c r="CI24">
        <f>IF(Plants!115:115,"AAAAAF3P+VY=",0)</f>
        <v>0</v>
      </c>
      <c r="CJ24" t="e">
        <f>AND(Plants!A115,"AAAAAF3P+Vc=")</f>
        <v>#VALUE!</v>
      </c>
      <c r="CK24" t="e">
        <f>AND(Plants!B115,"AAAAAF3P+Vg=")</f>
        <v>#VALUE!</v>
      </c>
      <c r="CL24" t="e">
        <f>AND(Plants!C115,"AAAAAF3P+Vk=")</f>
        <v>#VALUE!</v>
      </c>
      <c r="CM24" t="e">
        <f>AND(Plants!D115,"AAAAAF3P+Vo=")</f>
        <v>#VALUE!</v>
      </c>
      <c r="CN24" t="e">
        <f>AND(Plants!E115,"AAAAAF3P+Vs=")</f>
        <v>#VALUE!</v>
      </c>
      <c r="CO24" t="e">
        <f>AND(Plants!F115,"AAAAAF3P+Vw=")</f>
        <v>#VALUE!</v>
      </c>
      <c r="CP24" t="e">
        <f>AND(Plants!G115,"AAAAAF3P+V0=")</f>
        <v>#VALUE!</v>
      </c>
      <c r="CQ24" t="e">
        <f>AND(Plants!H115,"AAAAAF3P+V4=")</f>
        <v>#VALUE!</v>
      </c>
      <c r="CR24" t="e">
        <f>AND(Plants!I115,"AAAAAF3P+V8=")</f>
        <v>#VALUE!</v>
      </c>
      <c r="CS24" t="e">
        <f>AND(Plants!J115,"AAAAAF3P+WA=")</f>
        <v>#VALUE!</v>
      </c>
      <c r="CT24" t="e">
        <f>AND(Plants!K115,"AAAAAF3P+WE=")</f>
        <v>#VALUE!</v>
      </c>
      <c r="CU24" t="e">
        <f>AND(Plants!L115,"AAAAAF3P+WI=")</f>
        <v>#VALUE!</v>
      </c>
      <c r="CV24" t="e">
        <f>AND(Plants!M115,"AAAAAF3P+WM=")</f>
        <v>#VALUE!</v>
      </c>
      <c r="CW24" t="e">
        <f>AND(Plants!N115,"AAAAAF3P+WQ=")</f>
        <v>#VALUE!</v>
      </c>
      <c r="CX24" t="e">
        <f>AND(Plants!O115,"AAAAAF3P+WU=")</f>
        <v>#VALUE!</v>
      </c>
      <c r="CY24" t="e">
        <f>AND(Plants!P115,"AAAAAF3P+WY=")</f>
        <v>#VALUE!</v>
      </c>
      <c r="CZ24" t="e">
        <f>AND(Plants!Q115,"AAAAAF3P+Wc=")</f>
        <v>#VALUE!</v>
      </c>
      <c r="DA24">
        <f>IF(Plants!116:116,"AAAAAF3P+Wg=",0)</f>
        <v>0</v>
      </c>
      <c r="DB24" t="e">
        <f>AND(Plants!A116,"AAAAAF3P+Wk=")</f>
        <v>#VALUE!</v>
      </c>
      <c r="DC24" t="e">
        <f>AND(Plants!B116,"AAAAAF3P+Wo=")</f>
        <v>#VALUE!</v>
      </c>
      <c r="DD24" t="e">
        <f>AND(Plants!C116,"AAAAAF3P+Ws=")</f>
        <v>#VALUE!</v>
      </c>
      <c r="DE24" t="e">
        <f>AND(Plants!D116,"AAAAAF3P+Ww=")</f>
        <v>#VALUE!</v>
      </c>
      <c r="DF24" t="e">
        <f>AND(Plants!E116,"AAAAAF3P+W0=")</f>
        <v>#VALUE!</v>
      </c>
      <c r="DG24" t="e">
        <f>AND(Plants!F116,"AAAAAF3P+W4=")</f>
        <v>#VALUE!</v>
      </c>
      <c r="DH24" t="e">
        <f>AND(Plants!G116,"AAAAAF3P+W8=")</f>
        <v>#VALUE!</v>
      </c>
      <c r="DI24" t="e">
        <f>AND(Plants!H116,"AAAAAF3P+XA=")</f>
        <v>#VALUE!</v>
      </c>
      <c r="DJ24" t="e">
        <f>AND(Plants!I116,"AAAAAF3P+XE=")</f>
        <v>#VALUE!</v>
      </c>
      <c r="DK24" t="e">
        <f>AND(Plants!J116,"AAAAAF3P+XI=")</f>
        <v>#VALUE!</v>
      </c>
      <c r="DL24" t="e">
        <f>AND(Plants!K116,"AAAAAF3P+XM=")</f>
        <v>#VALUE!</v>
      </c>
      <c r="DM24" t="e">
        <f>AND(Plants!L116,"AAAAAF3P+XQ=")</f>
        <v>#VALUE!</v>
      </c>
      <c r="DN24" t="e">
        <f>AND(Plants!M116,"AAAAAF3P+XU=")</f>
        <v>#VALUE!</v>
      </c>
      <c r="DO24" t="e">
        <f>AND(Plants!N116,"AAAAAF3P+XY=")</f>
        <v>#VALUE!</v>
      </c>
      <c r="DP24" t="e">
        <f>AND(Plants!O116,"AAAAAF3P+Xc=")</f>
        <v>#VALUE!</v>
      </c>
      <c r="DQ24" t="e">
        <f>AND(Plants!P116,"AAAAAF3P+Xg=")</f>
        <v>#VALUE!</v>
      </c>
      <c r="DR24" t="e">
        <f>AND(Plants!Q116,"AAAAAF3P+Xk=")</f>
        <v>#VALUE!</v>
      </c>
      <c r="DS24">
        <f>IF(Plants!117:117,"AAAAAF3P+Xo=",0)</f>
        <v>0</v>
      </c>
      <c r="DT24" t="e">
        <f>AND(Plants!A117,"AAAAAF3P+Xs=")</f>
        <v>#VALUE!</v>
      </c>
      <c r="DU24" t="e">
        <f>AND(Plants!B117,"AAAAAF3P+Xw=")</f>
        <v>#VALUE!</v>
      </c>
      <c r="DV24" t="e">
        <f>AND(Plants!C117,"AAAAAF3P+X0=")</f>
        <v>#VALUE!</v>
      </c>
      <c r="DW24" t="e">
        <f>AND(Plants!D117,"AAAAAF3P+X4=")</f>
        <v>#VALUE!</v>
      </c>
      <c r="DX24" t="e">
        <f>AND(Plants!E117,"AAAAAF3P+X8=")</f>
        <v>#VALUE!</v>
      </c>
      <c r="DY24" t="e">
        <f>AND(Plants!F117,"AAAAAF3P+YA=")</f>
        <v>#VALUE!</v>
      </c>
      <c r="DZ24" t="e">
        <f>AND(Plants!G117,"AAAAAF3P+YE=")</f>
        <v>#VALUE!</v>
      </c>
      <c r="EA24" t="e">
        <f>AND(Plants!H117,"AAAAAF3P+YI=")</f>
        <v>#VALUE!</v>
      </c>
      <c r="EB24" t="e">
        <f>AND(Plants!I117,"AAAAAF3P+YM=")</f>
        <v>#VALUE!</v>
      </c>
      <c r="EC24" t="e">
        <f>AND(Plants!J117,"AAAAAF3P+YQ=")</f>
        <v>#VALUE!</v>
      </c>
      <c r="ED24" t="e">
        <f>AND(Plants!K117,"AAAAAF3P+YU=")</f>
        <v>#VALUE!</v>
      </c>
      <c r="EE24" t="e">
        <f>AND(Plants!L117,"AAAAAF3P+YY=")</f>
        <v>#VALUE!</v>
      </c>
      <c r="EF24" t="e">
        <f>AND(Plants!M117,"AAAAAF3P+Yc=")</f>
        <v>#VALUE!</v>
      </c>
      <c r="EG24" t="e">
        <f>AND(Plants!N117,"AAAAAF3P+Yg=")</f>
        <v>#VALUE!</v>
      </c>
      <c r="EH24" t="e">
        <f>AND(Plants!O117,"AAAAAF3P+Yk=")</f>
        <v>#VALUE!</v>
      </c>
      <c r="EI24" t="e">
        <f>AND(Plants!P117,"AAAAAF3P+Yo=")</f>
        <v>#VALUE!</v>
      </c>
      <c r="EJ24" t="e">
        <f>AND(Plants!Q117,"AAAAAF3P+Ys=")</f>
        <v>#VALUE!</v>
      </c>
      <c r="EK24">
        <f>IF(Plants!118:118,"AAAAAF3P+Yw=",0)</f>
        <v>0</v>
      </c>
      <c r="EL24" t="e">
        <f>AND(Plants!A118,"AAAAAF3P+Y0=")</f>
        <v>#VALUE!</v>
      </c>
      <c r="EM24" t="e">
        <f>AND(Plants!B118,"AAAAAF3P+Y4=")</f>
        <v>#VALUE!</v>
      </c>
      <c r="EN24" t="e">
        <f>AND(Plants!C118,"AAAAAF3P+Y8=")</f>
        <v>#VALUE!</v>
      </c>
      <c r="EO24" t="e">
        <f>AND(Plants!D118,"AAAAAF3P+ZA=")</f>
        <v>#VALUE!</v>
      </c>
      <c r="EP24" t="e">
        <f>AND(Plants!E118,"AAAAAF3P+ZE=")</f>
        <v>#VALUE!</v>
      </c>
      <c r="EQ24" t="e">
        <f>AND(Plants!F118,"AAAAAF3P+ZI=")</f>
        <v>#VALUE!</v>
      </c>
      <c r="ER24" t="e">
        <f>AND(Plants!G118,"AAAAAF3P+ZM=")</f>
        <v>#VALUE!</v>
      </c>
      <c r="ES24" t="e">
        <f>AND(Plants!H118,"AAAAAF3P+ZQ=")</f>
        <v>#VALUE!</v>
      </c>
      <c r="ET24" t="e">
        <f>AND(Plants!I118,"AAAAAF3P+ZU=")</f>
        <v>#VALUE!</v>
      </c>
      <c r="EU24" t="e">
        <f>AND(Plants!J118,"AAAAAF3P+ZY=")</f>
        <v>#VALUE!</v>
      </c>
      <c r="EV24" t="e">
        <f>AND(Plants!K118,"AAAAAF3P+Zc=")</f>
        <v>#VALUE!</v>
      </c>
      <c r="EW24" t="e">
        <f>AND(Plants!L118,"AAAAAF3P+Zg=")</f>
        <v>#VALUE!</v>
      </c>
      <c r="EX24" t="e">
        <f>AND(Plants!M118,"AAAAAF3P+Zk=")</f>
        <v>#VALUE!</v>
      </c>
      <c r="EY24" t="e">
        <f>AND(Plants!N118,"AAAAAF3P+Zo=")</f>
        <v>#VALUE!</v>
      </c>
      <c r="EZ24" t="e">
        <f>AND(Plants!O118,"AAAAAF3P+Zs=")</f>
        <v>#VALUE!</v>
      </c>
      <c r="FA24" t="e">
        <f>AND(Plants!P118,"AAAAAF3P+Zw=")</f>
        <v>#VALUE!</v>
      </c>
      <c r="FB24" t="e">
        <f>AND(Plants!Q118,"AAAAAF3P+Z0=")</f>
        <v>#VALUE!</v>
      </c>
      <c r="FC24">
        <f>IF(Plants!119:119,"AAAAAF3P+Z4=",0)</f>
        <v>0</v>
      </c>
      <c r="FD24" t="e">
        <f>AND(Plants!A119,"AAAAAF3P+Z8=")</f>
        <v>#VALUE!</v>
      </c>
      <c r="FE24" t="e">
        <f>AND(Plants!B119,"AAAAAF3P+aA=")</f>
        <v>#VALUE!</v>
      </c>
      <c r="FF24" t="e">
        <f>AND(Plants!C119,"AAAAAF3P+aE=")</f>
        <v>#VALUE!</v>
      </c>
      <c r="FG24" t="e">
        <f>AND(Plants!D119,"AAAAAF3P+aI=")</f>
        <v>#VALUE!</v>
      </c>
      <c r="FH24" t="e">
        <f>AND(Plants!E119,"AAAAAF3P+aM=")</f>
        <v>#VALUE!</v>
      </c>
      <c r="FI24" t="e">
        <f>AND(Plants!F119,"AAAAAF3P+aQ=")</f>
        <v>#VALUE!</v>
      </c>
      <c r="FJ24" t="e">
        <f>AND(Plants!G119,"AAAAAF3P+aU=")</f>
        <v>#VALUE!</v>
      </c>
      <c r="FK24" t="e">
        <f>AND(Plants!H119,"AAAAAF3P+aY=")</f>
        <v>#VALUE!</v>
      </c>
      <c r="FL24" t="e">
        <f>AND(Plants!I119,"AAAAAF3P+ac=")</f>
        <v>#VALUE!</v>
      </c>
      <c r="FM24" t="e">
        <f>AND(Plants!J119,"AAAAAF3P+ag=")</f>
        <v>#VALUE!</v>
      </c>
      <c r="FN24" t="e">
        <f>AND(Plants!K119,"AAAAAF3P+ak=")</f>
        <v>#VALUE!</v>
      </c>
      <c r="FO24" t="e">
        <f>AND(Plants!L119,"AAAAAF3P+ao=")</f>
        <v>#VALUE!</v>
      </c>
      <c r="FP24" t="e">
        <f>AND(Plants!M119,"AAAAAF3P+as=")</f>
        <v>#VALUE!</v>
      </c>
      <c r="FQ24" t="e">
        <f>AND(Plants!N119,"AAAAAF3P+aw=")</f>
        <v>#VALUE!</v>
      </c>
      <c r="FR24" t="e">
        <f>AND(Plants!O119,"AAAAAF3P+a0=")</f>
        <v>#VALUE!</v>
      </c>
      <c r="FS24" t="e">
        <f>AND(Plants!P119,"AAAAAF3P+a4=")</f>
        <v>#VALUE!</v>
      </c>
      <c r="FT24" t="e">
        <f>AND(Plants!Q119,"AAAAAF3P+a8=")</f>
        <v>#VALUE!</v>
      </c>
      <c r="FU24">
        <f>IF(Plants!120:120,"AAAAAF3P+bA=",0)</f>
        <v>0</v>
      </c>
      <c r="FV24" t="e">
        <f>AND(Plants!A120,"AAAAAF3P+bE=")</f>
        <v>#VALUE!</v>
      </c>
      <c r="FW24" t="e">
        <f>AND(Plants!B120,"AAAAAF3P+bI=")</f>
        <v>#VALUE!</v>
      </c>
      <c r="FX24" t="e">
        <f>AND(Plants!C120,"AAAAAF3P+bM=")</f>
        <v>#VALUE!</v>
      </c>
      <c r="FY24" t="e">
        <f>AND(Plants!D120,"AAAAAF3P+bQ=")</f>
        <v>#VALUE!</v>
      </c>
      <c r="FZ24" t="e">
        <f>AND(Plants!E120,"AAAAAF3P+bU=")</f>
        <v>#VALUE!</v>
      </c>
      <c r="GA24" t="e">
        <f>AND(Plants!F120,"AAAAAF3P+bY=")</f>
        <v>#VALUE!</v>
      </c>
      <c r="GB24" t="e">
        <f>AND(Plants!G120,"AAAAAF3P+bc=")</f>
        <v>#VALUE!</v>
      </c>
      <c r="GC24" t="e">
        <f>AND(Plants!H120,"AAAAAF3P+bg=")</f>
        <v>#VALUE!</v>
      </c>
      <c r="GD24" t="e">
        <f>AND(Plants!I120,"AAAAAF3P+bk=")</f>
        <v>#VALUE!</v>
      </c>
      <c r="GE24" t="e">
        <f>AND(Plants!J120,"AAAAAF3P+bo=")</f>
        <v>#VALUE!</v>
      </c>
      <c r="GF24" t="e">
        <f>AND(Plants!K120,"AAAAAF3P+bs=")</f>
        <v>#VALUE!</v>
      </c>
      <c r="GG24" t="e">
        <f>AND(Plants!L120,"AAAAAF3P+bw=")</f>
        <v>#VALUE!</v>
      </c>
      <c r="GH24" t="e">
        <f>AND(Plants!M120,"AAAAAF3P+b0=")</f>
        <v>#VALUE!</v>
      </c>
      <c r="GI24" t="e">
        <f>AND(Plants!N120,"AAAAAF3P+b4=")</f>
        <v>#VALUE!</v>
      </c>
      <c r="GJ24" t="e">
        <f>AND(Plants!O120,"AAAAAF3P+b8=")</f>
        <v>#VALUE!</v>
      </c>
      <c r="GK24" t="e">
        <f>AND(Plants!P120,"AAAAAF3P+cA=")</f>
        <v>#VALUE!</v>
      </c>
      <c r="GL24" t="e">
        <f>AND(Plants!Q120,"AAAAAF3P+cE=")</f>
        <v>#VALUE!</v>
      </c>
      <c r="GM24">
        <f>IF(Plants!121:121,"AAAAAF3P+cI=",0)</f>
        <v>0</v>
      </c>
      <c r="GN24" t="e">
        <f>AND(Plants!A121,"AAAAAF3P+cM=")</f>
        <v>#VALUE!</v>
      </c>
      <c r="GO24" t="e">
        <f>AND(Plants!B121,"AAAAAF3P+cQ=")</f>
        <v>#VALUE!</v>
      </c>
      <c r="GP24" t="e">
        <f>AND(Plants!C121,"AAAAAF3P+cU=")</f>
        <v>#VALUE!</v>
      </c>
      <c r="GQ24" t="e">
        <f>AND(Plants!D121,"AAAAAF3P+cY=")</f>
        <v>#VALUE!</v>
      </c>
      <c r="GR24" t="e">
        <f>AND(Plants!E121,"AAAAAF3P+cc=")</f>
        <v>#VALUE!</v>
      </c>
      <c r="GS24" t="e">
        <f>AND(Plants!F121,"AAAAAF3P+cg=")</f>
        <v>#VALUE!</v>
      </c>
      <c r="GT24" t="e">
        <f>AND(Plants!G121,"AAAAAF3P+ck=")</f>
        <v>#VALUE!</v>
      </c>
      <c r="GU24" t="e">
        <f>AND(Plants!H121,"AAAAAF3P+co=")</f>
        <v>#VALUE!</v>
      </c>
      <c r="GV24" t="e">
        <f>AND(Plants!I121,"AAAAAF3P+cs=")</f>
        <v>#VALUE!</v>
      </c>
      <c r="GW24" t="e">
        <f>AND(Plants!J121,"AAAAAF3P+cw=")</f>
        <v>#VALUE!</v>
      </c>
      <c r="GX24" t="e">
        <f>AND(Plants!K121,"AAAAAF3P+c0=")</f>
        <v>#VALUE!</v>
      </c>
      <c r="GY24" t="e">
        <f>AND(Plants!L121,"AAAAAF3P+c4=")</f>
        <v>#VALUE!</v>
      </c>
      <c r="GZ24" t="e">
        <f>AND(Plants!M121,"AAAAAF3P+c8=")</f>
        <v>#VALUE!</v>
      </c>
      <c r="HA24" t="e">
        <f>AND(Plants!N121,"AAAAAF3P+dA=")</f>
        <v>#VALUE!</v>
      </c>
      <c r="HB24" t="e">
        <f>AND(Plants!O121,"AAAAAF3P+dE=")</f>
        <v>#VALUE!</v>
      </c>
      <c r="HC24" t="e">
        <f>AND(Plants!P121,"AAAAAF3P+dI=")</f>
        <v>#VALUE!</v>
      </c>
      <c r="HD24" t="e">
        <f>AND(Plants!Q121,"AAAAAF3P+dM=")</f>
        <v>#VALUE!</v>
      </c>
      <c r="HE24">
        <f>IF(Plants!122:122,"AAAAAF3P+dQ=",0)</f>
        <v>0</v>
      </c>
      <c r="HF24" t="e">
        <f>AND(Plants!A122,"AAAAAF3P+dU=")</f>
        <v>#VALUE!</v>
      </c>
      <c r="HG24" t="e">
        <f>AND(Plants!B122,"AAAAAF3P+dY=")</f>
        <v>#VALUE!</v>
      </c>
      <c r="HH24" t="e">
        <f>AND(Plants!C122,"AAAAAF3P+dc=")</f>
        <v>#VALUE!</v>
      </c>
      <c r="HI24" t="e">
        <f>AND(Plants!D122,"AAAAAF3P+dg=")</f>
        <v>#VALUE!</v>
      </c>
      <c r="HJ24" t="e">
        <f>AND(Plants!E122,"AAAAAF3P+dk=")</f>
        <v>#VALUE!</v>
      </c>
      <c r="HK24" t="e">
        <f>AND(Plants!F122,"AAAAAF3P+do=")</f>
        <v>#VALUE!</v>
      </c>
      <c r="HL24" t="e">
        <f>AND(Plants!G122,"AAAAAF3P+ds=")</f>
        <v>#VALUE!</v>
      </c>
      <c r="HM24" t="e">
        <f>AND(Plants!H122,"AAAAAF3P+dw=")</f>
        <v>#VALUE!</v>
      </c>
      <c r="HN24" t="e">
        <f>AND(Plants!I122,"AAAAAF3P+d0=")</f>
        <v>#VALUE!</v>
      </c>
      <c r="HO24" t="e">
        <f>AND(Plants!J122,"AAAAAF3P+d4=")</f>
        <v>#VALUE!</v>
      </c>
      <c r="HP24" t="e">
        <f>AND(Plants!K122,"AAAAAF3P+d8=")</f>
        <v>#VALUE!</v>
      </c>
      <c r="HQ24" t="e">
        <f>AND(Plants!L122,"AAAAAF3P+eA=")</f>
        <v>#VALUE!</v>
      </c>
      <c r="HR24" t="e">
        <f>AND(Plants!M122,"AAAAAF3P+eE=")</f>
        <v>#VALUE!</v>
      </c>
      <c r="HS24" t="e">
        <f>AND(Plants!N122,"AAAAAF3P+eI=")</f>
        <v>#VALUE!</v>
      </c>
      <c r="HT24" t="e">
        <f>AND(Plants!O122,"AAAAAF3P+eM=")</f>
        <v>#VALUE!</v>
      </c>
      <c r="HU24" t="e">
        <f>AND(Plants!P122,"AAAAAF3P+eQ=")</f>
        <v>#VALUE!</v>
      </c>
      <c r="HV24" t="e">
        <f>AND(Plants!Q122,"AAAAAF3P+eU=")</f>
        <v>#VALUE!</v>
      </c>
      <c r="HW24">
        <f>IF(Plants!123:123,"AAAAAF3P+eY=",0)</f>
        <v>0</v>
      </c>
      <c r="HX24" t="e">
        <f>AND(Plants!A123,"AAAAAF3P+ec=")</f>
        <v>#VALUE!</v>
      </c>
      <c r="HY24" t="e">
        <f>AND(Plants!B123,"AAAAAF3P+eg=")</f>
        <v>#VALUE!</v>
      </c>
      <c r="HZ24" t="e">
        <f>AND(Plants!C123,"AAAAAF3P+ek=")</f>
        <v>#VALUE!</v>
      </c>
      <c r="IA24" t="e">
        <f>AND(Plants!D123,"AAAAAF3P+eo=")</f>
        <v>#VALUE!</v>
      </c>
      <c r="IB24" t="e">
        <f>AND(Plants!E123,"AAAAAF3P+es=")</f>
        <v>#VALUE!</v>
      </c>
      <c r="IC24" t="e">
        <f>AND(Plants!F123,"AAAAAF3P+ew=")</f>
        <v>#VALUE!</v>
      </c>
      <c r="ID24" t="e">
        <f>AND(Plants!G123,"AAAAAF3P+e0=")</f>
        <v>#VALUE!</v>
      </c>
      <c r="IE24" t="e">
        <f>AND(Plants!H123,"AAAAAF3P+e4=")</f>
        <v>#VALUE!</v>
      </c>
      <c r="IF24" t="e">
        <f>AND(Plants!I123,"AAAAAF3P+e8=")</f>
        <v>#VALUE!</v>
      </c>
      <c r="IG24" t="e">
        <f>AND(Plants!J123,"AAAAAF3P+fA=")</f>
        <v>#VALUE!</v>
      </c>
      <c r="IH24" t="e">
        <f>AND(Plants!K123,"AAAAAF3P+fE=")</f>
        <v>#VALUE!</v>
      </c>
      <c r="II24" t="e">
        <f>AND(Plants!L123,"AAAAAF3P+fI=")</f>
        <v>#VALUE!</v>
      </c>
      <c r="IJ24" t="e">
        <f>AND(Plants!M123,"AAAAAF3P+fM=")</f>
        <v>#VALUE!</v>
      </c>
      <c r="IK24" t="e">
        <f>AND(Plants!N123,"AAAAAF3P+fQ=")</f>
        <v>#VALUE!</v>
      </c>
      <c r="IL24" t="e">
        <f>AND(Plants!O123,"AAAAAF3P+fU=")</f>
        <v>#VALUE!</v>
      </c>
      <c r="IM24" t="e">
        <f>AND(Plants!P123,"AAAAAF3P+fY=")</f>
        <v>#VALUE!</v>
      </c>
      <c r="IN24" t="e">
        <f>AND(Plants!Q123,"AAAAAF3P+fc=")</f>
        <v>#VALUE!</v>
      </c>
      <c r="IO24">
        <f>IF(Plants!124:124,"AAAAAF3P+fg=",0)</f>
        <v>0</v>
      </c>
      <c r="IP24" t="e">
        <f>AND(Plants!A124,"AAAAAF3P+fk=")</f>
        <v>#VALUE!</v>
      </c>
      <c r="IQ24" t="e">
        <f>AND(Plants!B124,"AAAAAF3P+fo=")</f>
        <v>#VALUE!</v>
      </c>
      <c r="IR24" t="e">
        <f>AND(Plants!C124,"AAAAAF3P+fs=")</f>
        <v>#VALUE!</v>
      </c>
      <c r="IS24" t="e">
        <f>AND(Plants!D124,"AAAAAF3P+fw=")</f>
        <v>#VALUE!</v>
      </c>
      <c r="IT24" t="e">
        <f>AND(Plants!E124,"AAAAAF3P+f0=")</f>
        <v>#VALUE!</v>
      </c>
      <c r="IU24" t="e">
        <f>AND(Plants!F124,"AAAAAF3P+f4=")</f>
        <v>#VALUE!</v>
      </c>
      <c r="IV24" t="e">
        <f>AND(Plants!G124,"AAAAAF3P+f8=")</f>
        <v>#VALUE!</v>
      </c>
    </row>
    <row r="25" spans="1:256">
      <c r="A25" t="e">
        <f>AND(Plants!H124,"AAAAAH9n9gA=")</f>
        <v>#VALUE!</v>
      </c>
      <c r="B25" t="e">
        <f>AND(Plants!I124,"AAAAAH9n9gE=")</f>
        <v>#VALUE!</v>
      </c>
      <c r="C25" t="e">
        <f>AND(Plants!J124,"AAAAAH9n9gI=")</f>
        <v>#VALUE!</v>
      </c>
      <c r="D25" t="e">
        <f>AND(Plants!K124,"AAAAAH9n9gM=")</f>
        <v>#VALUE!</v>
      </c>
      <c r="E25" t="e">
        <f>AND(Plants!L124,"AAAAAH9n9gQ=")</f>
        <v>#VALUE!</v>
      </c>
      <c r="F25" t="e">
        <f>AND(Plants!M124,"AAAAAH9n9gU=")</f>
        <v>#VALUE!</v>
      </c>
      <c r="G25" t="e">
        <f>AND(Plants!N124,"AAAAAH9n9gY=")</f>
        <v>#VALUE!</v>
      </c>
      <c r="H25" t="e">
        <f>AND(Plants!O124,"AAAAAH9n9gc=")</f>
        <v>#VALUE!</v>
      </c>
      <c r="I25" t="e">
        <f>AND(Plants!P124,"AAAAAH9n9gg=")</f>
        <v>#VALUE!</v>
      </c>
      <c r="J25" t="e">
        <f>AND(Plants!Q124,"AAAAAH9n9gk=")</f>
        <v>#VALUE!</v>
      </c>
      <c r="K25" t="e">
        <f>IF(Plants!125:125,"AAAAAH9n9go=",0)</f>
        <v>#VALUE!</v>
      </c>
      <c r="L25" t="e">
        <f>AND(Plants!A125,"AAAAAH9n9gs=")</f>
        <v>#VALUE!</v>
      </c>
      <c r="M25" t="e">
        <f>AND(Plants!B125,"AAAAAH9n9gw=")</f>
        <v>#VALUE!</v>
      </c>
      <c r="N25" t="e">
        <f>AND(Plants!C125,"AAAAAH9n9g0=")</f>
        <v>#VALUE!</v>
      </c>
      <c r="O25" t="e">
        <f>AND(Plants!D125,"AAAAAH9n9g4=")</f>
        <v>#VALUE!</v>
      </c>
      <c r="P25" t="e">
        <f>AND(Plants!E125,"AAAAAH9n9g8=")</f>
        <v>#VALUE!</v>
      </c>
      <c r="Q25" t="e">
        <f>AND(Plants!F125,"AAAAAH9n9hA=")</f>
        <v>#VALUE!</v>
      </c>
      <c r="R25" t="e">
        <f>AND(Plants!G125,"AAAAAH9n9hE=")</f>
        <v>#VALUE!</v>
      </c>
      <c r="S25" t="e">
        <f>AND(Plants!H125,"AAAAAH9n9hI=")</f>
        <v>#VALUE!</v>
      </c>
      <c r="T25" t="e">
        <f>AND(Plants!I125,"AAAAAH9n9hM=")</f>
        <v>#VALUE!</v>
      </c>
      <c r="U25" t="e">
        <f>AND(Plants!J125,"AAAAAH9n9hQ=")</f>
        <v>#VALUE!</v>
      </c>
      <c r="V25" t="e">
        <f>AND(Plants!K125,"AAAAAH9n9hU=")</f>
        <v>#VALUE!</v>
      </c>
      <c r="W25" t="e">
        <f>AND(Plants!L125,"AAAAAH9n9hY=")</f>
        <v>#VALUE!</v>
      </c>
      <c r="X25" t="e">
        <f>AND(Plants!M125,"AAAAAH9n9hc=")</f>
        <v>#VALUE!</v>
      </c>
      <c r="Y25" t="e">
        <f>AND(Plants!N125,"AAAAAH9n9hg=")</f>
        <v>#VALUE!</v>
      </c>
      <c r="Z25" t="e">
        <f>AND(Plants!O125,"AAAAAH9n9hk=")</f>
        <v>#VALUE!</v>
      </c>
      <c r="AA25" t="e">
        <f>AND(Plants!P125,"AAAAAH9n9ho=")</f>
        <v>#VALUE!</v>
      </c>
      <c r="AB25" t="e">
        <f>AND(Plants!Q125,"AAAAAH9n9hs=")</f>
        <v>#VALUE!</v>
      </c>
      <c r="AC25">
        <f>IF(Plants!126:126,"AAAAAH9n9hw=",0)</f>
        <v>0</v>
      </c>
      <c r="AD25" t="e">
        <f>AND(Plants!A126,"AAAAAH9n9h0=")</f>
        <v>#VALUE!</v>
      </c>
      <c r="AE25" t="e">
        <f>AND(Plants!B126,"AAAAAH9n9h4=")</f>
        <v>#VALUE!</v>
      </c>
      <c r="AF25" t="e">
        <f>AND(Plants!C126,"AAAAAH9n9h8=")</f>
        <v>#VALUE!</v>
      </c>
      <c r="AG25" t="e">
        <f>AND(Plants!D126,"AAAAAH9n9iA=")</f>
        <v>#VALUE!</v>
      </c>
      <c r="AH25" t="e">
        <f>AND(Plants!E126,"AAAAAH9n9iE=")</f>
        <v>#VALUE!</v>
      </c>
      <c r="AI25" t="e">
        <f>AND(Plants!F126,"AAAAAH9n9iI=")</f>
        <v>#VALUE!</v>
      </c>
      <c r="AJ25" t="e">
        <f>AND(Plants!G126,"AAAAAH9n9iM=")</f>
        <v>#VALUE!</v>
      </c>
      <c r="AK25" t="e">
        <f>AND(Plants!H126,"AAAAAH9n9iQ=")</f>
        <v>#VALUE!</v>
      </c>
      <c r="AL25" t="e">
        <f>AND(Plants!I126,"AAAAAH9n9iU=")</f>
        <v>#VALUE!</v>
      </c>
      <c r="AM25" t="e">
        <f>AND(Plants!J126,"AAAAAH9n9iY=")</f>
        <v>#VALUE!</v>
      </c>
      <c r="AN25" t="e">
        <f>AND(Plants!K126,"AAAAAH9n9ic=")</f>
        <v>#VALUE!</v>
      </c>
      <c r="AO25" t="e">
        <f>AND(Plants!L126,"AAAAAH9n9ig=")</f>
        <v>#VALUE!</v>
      </c>
      <c r="AP25" t="e">
        <f>AND(Plants!M126,"AAAAAH9n9ik=")</f>
        <v>#VALUE!</v>
      </c>
      <c r="AQ25" t="e">
        <f>AND(Plants!N126,"AAAAAH9n9io=")</f>
        <v>#VALUE!</v>
      </c>
      <c r="AR25" t="e">
        <f>AND(Plants!O126,"AAAAAH9n9is=")</f>
        <v>#VALUE!</v>
      </c>
      <c r="AS25" t="e">
        <f>AND(Plants!P126,"AAAAAH9n9iw=")</f>
        <v>#VALUE!</v>
      </c>
      <c r="AT25" t="e">
        <f>AND(Plants!Q126,"AAAAAH9n9i0=")</f>
        <v>#VALUE!</v>
      </c>
      <c r="AU25">
        <f>IF(Plants!127:127,"AAAAAH9n9i4=",0)</f>
        <v>0</v>
      </c>
      <c r="AV25" t="e">
        <f>AND(Plants!A127,"AAAAAH9n9i8=")</f>
        <v>#VALUE!</v>
      </c>
      <c r="AW25" t="e">
        <f>AND(Plants!B127,"AAAAAH9n9jA=")</f>
        <v>#VALUE!</v>
      </c>
      <c r="AX25" t="e">
        <f>AND(Plants!C127,"AAAAAH9n9jE=")</f>
        <v>#VALUE!</v>
      </c>
      <c r="AY25" t="e">
        <f>AND(Plants!D127,"AAAAAH9n9jI=")</f>
        <v>#VALUE!</v>
      </c>
      <c r="AZ25" t="e">
        <f>AND(Plants!E127,"AAAAAH9n9jM=")</f>
        <v>#VALUE!</v>
      </c>
      <c r="BA25" t="e">
        <f>AND(Plants!F127,"AAAAAH9n9jQ=")</f>
        <v>#VALUE!</v>
      </c>
      <c r="BB25" t="e">
        <f>AND(Plants!G127,"AAAAAH9n9jU=")</f>
        <v>#VALUE!</v>
      </c>
      <c r="BC25" t="e">
        <f>AND(Plants!H127,"AAAAAH9n9jY=")</f>
        <v>#VALUE!</v>
      </c>
      <c r="BD25" t="e">
        <f>AND(Plants!I127,"AAAAAH9n9jc=")</f>
        <v>#VALUE!</v>
      </c>
      <c r="BE25" t="e">
        <f>AND(Plants!J127,"AAAAAH9n9jg=")</f>
        <v>#VALUE!</v>
      </c>
      <c r="BF25" t="e">
        <f>AND(Plants!K127,"AAAAAH9n9jk=")</f>
        <v>#VALUE!</v>
      </c>
      <c r="BG25" t="e">
        <f>AND(Plants!L127,"AAAAAH9n9jo=")</f>
        <v>#VALUE!</v>
      </c>
      <c r="BH25" t="e">
        <f>AND(Plants!M127,"AAAAAH9n9js=")</f>
        <v>#VALUE!</v>
      </c>
      <c r="BI25" t="e">
        <f>AND(Plants!N127,"AAAAAH9n9jw=")</f>
        <v>#VALUE!</v>
      </c>
      <c r="BJ25" t="e">
        <f>AND(Plants!O127,"AAAAAH9n9j0=")</f>
        <v>#VALUE!</v>
      </c>
      <c r="BK25" t="e">
        <f>AND(Plants!P127,"AAAAAH9n9j4=")</f>
        <v>#VALUE!</v>
      </c>
      <c r="BL25" t="e">
        <f>AND(Plants!Q127,"AAAAAH9n9j8=")</f>
        <v>#VALUE!</v>
      </c>
      <c r="BM25">
        <f>IF(Plants!128:128,"AAAAAH9n9kA=",0)</f>
        <v>0</v>
      </c>
      <c r="BN25" t="e">
        <f>AND(Plants!A128,"AAAAAH9n9kE=")</f>
        <v>#VALUE!</v>
      </c>
      <c r="BO25" t="e">
        <f>AND(Plants!B128,"AAAAAH9n9kI=")</f>
        <v>#VALUE!</v>
      </c>
      <c r="BP25" t="e">
        <f>AND(Plants!C128,"AAAAAH9n9kM=")</f>
        <v>#VALUE!</v>
      </c>
      <c r="BQ25" t="e">
        <f>AND(Plants!D128,"AAAAAH9n9kQ=")</f>
        <v>#VALUE!</v>
      </c>
      <c r="BR25" t="e">
        <f>AND(Plants!E128,"AAAAAH9n9kU=")</f>
        <v>#VALUE!</v>
      </c>
      <c r="BS25" t="e">
        <f>AND(Plants!F128,"AAAAAH9n9kY=")</f>
        <v>#VALUE!</v>
      </c>
      <c r="BT25" t="e">
        <f>AND(Plants!G128,"AAAAAH9n9kc=")</f>
        <v>#VALUE!</v>
      </c>
      <c r="BU25" t="e">
        <f>AND(Plants!H128,"AAAAAH9n9kg=")</f>
        <v>#VALUE!</v>
      </c>
      <c r="BV25" t="e">
        <f>AND(Plants!I128,"AAAAAH9n9kk=")</f>
        <v>#VALUE!</v>
      </c>
      <c r="BW25" t="e">
        <f>AND(Plants!J128,"AAAAAH9n9ko=")</f>
        <v>#VALUE!</v>
      </c>
      <c r="BX25" t="e">
        <f>AND(Plants!K128,"AAAAAH9n9ks=")</f>
        <v>#VALUE!</v>
      </c>
      <c r="BY25" t="e">
        <f>AND(Plants!L128,"AAAAAH9n9kw=")</f>
        <v>#VALUE!</v>
      </c>
      <c r="BZ25" t="e">
        <f>AND(Plants!M128,"AAAAAH9n9k0=")</f>
        <v>#VALUE!</v>
      </c>
      <c r="CA25" t="e">
        <f>AND(Plants!N128,"AAAAAH9n9k4=")</f>
        <v>#VALUE!</v>
      </c>
      <c r="CB25" t="e">
        <f>AND(Plants!O128,"AAAAAH9n9k8=")</f>
        <v>#VALUE!</v>
      </c>
      <c r="CC25" t="e">
        <f>AND(Plants!P128,"AAAAAH9n9lA=")</f>
        <v>#VALUE!</v>
      </c>
      <c r="CD25" t="e">
        <f>AND(Plants!Q128,"AAAAAH9n9lE=")</f>
        <v>#VALUE!</v>
      </c>
      <c r="CE25">
        <f>IF(Plants!129:129,"AAAAAH9n9lI=",0)</f>
        <v>0</v>
      </c>
      <c r="CF25" t="e">
        <f>AND(Plants!A129,"AAAAAH9n9lM=")</f>
        <v>#VALUE!</v>
      </c>
      <c r="CG25" t="e">
        <f>AND(Plants!B129,"AAAAAH9n9lQ=")</f>
        <v>#VALUE!</v>
      </c>
      <c r="CH25" t="e">
        <f>AND(Plants!C129,"AAAAAH9n9lU=")</f>
        <v>#VALUE!</v>
      </c>
      <c r="CI25" t="e">
        <f>AND(Plants!D129,"AAAAAH9n9lY=")</f>
        <v>#VALUE!</v>
      </c>
      <c r="CJ25" t="e">
        <f>AND(Plants!E129,"AAAAAH9n9lc=")</f>
        <v>#VALUE!</v>
      </c>
      <c r="CK25" t="e">
        <f>AND(Plants!F129,"AAAAAH9n9lg=")</f>
        <v>#VALUE!</v>
      </c>
      <c r="CL25" t="e">
        <f>AND(Plants!G129,"AAAAAH9n9lk=")</f>
        <v>#VALUE!</v>
      </c>
      <c r="CM25" t="e">
        <f>AND(Plants!H129,"AAAAAH9n9lo=")</f>
        <v>#VALUE!</v>
      </c>
      <c r="CN25" t="e">
        <f>AND(Plants!I129,"AAAAAH9n9ls=")</f>
        <v>#VALUE!</v>
      </c>
      <c r="CO25" t="e">
        <f>AND(Plants!J129,"AAAAAH9n9lw=")</f>
        <v>#VALUE!</v>
      </c>
      <c r="CP25" t="e">
        <f>AND(Plants!K129,"AAAAAH9n9l0=")</f>
        <v>#VALUE!</v>
      </c>
      <c r="CQ25" t="e">
        <f>AND(Plants!L129,"AAAAAH9n9l4=")</f>
        <v>#VALUE!</v>
      </c>
      <c r="CR25" t="e">
        <f>AND(Plants!M129,"AAAAAH9n9l8=")</f>
        <v>#VALUE!</v>
      </c>
      <c r="CS25" t="e">
        <f>AND(Plants!N129,"AAAAAH9n9mA=")</f>
        <v>#VALUE!</v>
      </c>
      <c r="CT25" t="e">
        <f>AND(Plants!O129,"AAAAAH9n9mE=")</f>
        <v>#VALUE!</v>
      </c>
      <c r="CU25" t="e">
        <f>AND(Plants!P129,"AAAAAH9n9mI=")</f>
        <v>#VALUE!</v>
      </c>
      <c r="CV25" t="e">
        <f>AND(Plants!Q129,"AAAAAH9n9mM=")</f>
        <v>#VALUE!</v>
      </c>
      <c r="CW25">
        <f>IF(Plants!130:130,"AAAAAH9n9mQ=",0)</f>
        <v>0</v>
      </c>
      <c r="CX25" t="e">
        <f>AND(Plants!A130,"AAAAAH9n9mU=")</f>
        <v>#VALUE!</v>
      </c>
      <c r="CY25" t="e">
        <f>AND(Plants!B130,"AAAAAH9n9mY=")</f>
        <v>#VALUE!</v>
      </c>
      <c r="CZ25" t="e">
        <f>AND(Plants!C130,"AAAAAH9n9mc=")</f>
        <v>#VALUE!</v>
      </c>
      <c r="DA25" t="e">
        <f>AND(Plants!D130,"AAAAAH9n9mg=")</f>
        <v>#VALUE!</v>
      </c>
      <c r="DB25" t="e">
        <f>AND(Plants!E130,"AAAAAH9n9mk=")</f>
        <v>#VALUE!</v>
      </c>
      <c r="DC25" t="e">
        <f>AND(Plants!F130,"AAAAAH9n9mo=")</f>
        <v>#VALUE!</v>
      </c>
      <c r="DD25" t="e">
        <f>AND(Plants!G130,"AAAAAH9n9ms=")</f>
        <v>#VALUE!</v>
      </c>
      <c r="DE25" t="e">
        <f>AND(Plants!H130,"AAAAAH9n9mw=")</f>
        <v>#VALUE!</v>
      </c>
      <c r="DF25" t="e">
        <f>AND(Plants!I130,"AAAAAH9n9m0=")</f>
        <v>#VALUE!</v>
      </c>
      <c r="DG25" t="e">
        <f>AND(Plants!J130,"AAAAAH9n9m4=")</f>
        <v>#VALUE!</v>
      </c>
      <c r="DH25" t="e">
        <f>AND(Plants!K130,"AAAAAH9n9m8=")</f>
        <v>#VALUE!</v>
      </c>
      <c r="DI25" t="e">
        <f>AND(Plants!L130,"AAAAAH9n9nA=")</f>
        <v>#VALUE!</v>
      </c>
      <c r="DJ25" t="e">
        <f>AND(Plants!M130,"AAAAAH9n9nE=")</f>
        <v>#VALUE!</v>
      </c>
      <c r="DK25" t="e">
        <f>AND(Plants!N130,"AAAAAH9n9nI=")</f>
        <v>#VALUE!</v>
      </c>
      <c r="DL25" t="e">
        <f>AND(Plants!O130,"AAAAAH9n9nM=")</f>
        <v>#VALUE!</v>
      </c>
      <c r="DM25" t="e">
        <f>AND(Plants!P130,"AAAAAH9n9nQ=")</f>
        <v>#VALUE!</v>
      </c>
      <c r="DN25" t="e">
        <f>AND(Plants!Q130,"AAAAAH9n9nU=")</f>
        <v>#VALUE!</v>
      </c>
      <c r="DO25">
        <f>IF(Plants!131:131,"AAAAAH9n9nY=",0)</f>
        <v>0</v>
      </c>
      <c r="DP25" t="e">
        <f>AND(Plants!A131,"AAAAAH9n9nc=")</f>
        <v>#VALUE!</v>
      </c>
      <c r="DQ25" t="e">
        <f>AND(Plants!B131,"AAAAAH9n9ng=")</f>
        <v>#VALUE!</v>
      </c>
      <c r="DR25" t="e">
        <f>AND(Plants!C131,"AAAAAH9n9nk=")</f>
        <v>#VALUE!</v>
      </c>
      <c r="DS25" t="e">
        <f>AND(Plants!D131,"AAAAAH9n9no=")</f>
        <v>#VALUE!</v>
      </c>
      <c r="DT25" t="e">
        <f>AND(Plants!E131,"AAAAAH9n9ns=")</f>
        <v>#VALUE!</v>
      </c>
      <c r="DU25" t="e">
        <f>AND(Plants!F131,"AAAAAH9n9nw=")</f>
        <v>#VALUE!</v>
      </c>
      <c r="DV25" t="e">
        <f>AND(Plants!G131,"AAAAAH9n9n0=")</f>
        <v>#VALUE!</v>
      </c>
      <c r="DW25" t="e">
        <f>AND(Plants!H131,"AAAAAH9n9n4=")</f>
        <v>#VALUE!</v>
      </c>
      <c r="DX25" t="e">
        <f>AND(Plants!I131,"AAAAAH9n9n8=")</f>
        <v>#VALUE!</v>
      </c>
      <c r="DY25" t="e">
        <f>AND(Plants!J131,"AAAAAH9n9oA=")</f>
        <v>#VALUE!</v>
      </c>
      <c r="DZ25" t="e">
        <f>AND(Plants!K131,"AAAAAH9n9oE=")</f>
        <v>#VALUE!</v>
      </c>
      <c r="EA25" t="e">
        <f>AND(Plants!L131,"AAAAAH9n9oI=")</f>
        <v>#VALUE!</v>
      </c>
      <c r="EB25" t="e">
        <f>AND(Plants!M131,"AAAAAH9n9oM=")</f>
        <v>#VALUE!</v>
      </c>
      <c r="EC25" t="e">
        <f>AND(Plants!N131,"AAAAAH9n9oQ=")</f>
        <v>#VALUE!</v>
      </c>
      <c r="ED25" t="e">
        <f>AND(Plants!O131,"AAAAAH9n9oU=")</f>
        <v>#VALUE!</v>
      </c>
      <c r="EE25" t="e">
        <f>AND(Plants!P131,"AAAAAH9n9oY=")</f>
        <v>#VALUE!</v>
      </c>
      <c r="EF25" t="e">
        <f>AND(Plants!Q131,"AAAAAH9n9oc=")</f>
        <v>#VALUE!</v>
      </c>
      <c r="EG25">
        <f>IF(Plants!132:132,"AAAAAH9n9og=",0)</f>
        <v>0</v>
      </c>
      <c r="EH25" t="e">
        <f>AND(Plants!A132,"AAAAAH9n9ok=")</f>
        <v>#VALUE!</v>
      </c>
      <c r="EI25" t="e">
        <f>AND(Plants!B132,"AAAAAH9n9oo=")</f>
        <v>#VALUE!</v>
      </c>
      <c r="EJ25" t="e">
        <f>AND(Plants!C132,"AAAAAH9n9os=")</f>
        <v>#VALUE!</v>
      </c>
      <c r="EK25" t="e">
        <f>AND(Plants!D132,"AAAAAH9n9ow=")</f>
        <v>#VALUE!</v>
      </c>
      <c r="EL25" t="e">
        <f>AND(Plants!E132,"AAAAAH9n9o0=")</f>
        <v>#VALUE!</v>
      </c>
      <c r="EM25" t="e">
        <f>AND(Plants!F132,"AAAAAH9n9o4=")</f>
        <v>#VALUE!</v>
      </c>
      <c r="EN25" t="e">
        <f>AND(Plants!G132,"AAAAAH9n9o8=")</f>
        <v>#VALUE!</v>
      </c>
      <c r="EO25" t="e">
        <f>AND(Plants!H132,"AAAAAH9n9pA=")</f>
        <v>#VALUE!</v>
      </c>
      <c r="EP25" t="e">
        <f>AND(Plants!I132,"AAAAAH9n9pE=")</f>
        <v>#VALUE!</v>
      </c>
      <c r="EQ25" t="e">
        <f>AND(Plants!J132,"AAAAAH9n9pI=")</f>
        <v>#VALUE!</v>
      </c>
      <c r="ER25" t="e">
        <f>AND(Plants!K132,"AAAAAH9n9pM=")</f>
        <v>#VALUE!</v>
      </c>
      <c r="ES25" t="e">
        <f>AND(Plants!L132,"AAAAAH9n9pQ=")</f>
        <v>#VALUE!</v>
      </c>
      <c r="ET25" t="e">
        <f>AND(Plants!M132,"AAAAAH9n9pU=")</f>
        <v>#VALUE!</v>
      </c>
      <c r="EU25" t="e">
        <f>AND(Plants!N132,"AAAAAH9n9pY=")</f>
        <v>#VALUE!</v>
      </c>
      <c r="EV25" t="e">
        <f>AND(Plants!O132,"AAAAAH9n9pc=")</f>
        <v>#VALUE!</v>
      </c>
      <c r="EW25" t="e">
        <f>AND(Plants!P132,"AAAAAH9n9pg=")</f>
        <v>#VALUE!</v>
      </c>
      <c r="EX25" t="e">
        <f>AND(Plants!Q132,"AAAAAH9n9pk=")</f>
        <v>#VALUE!</v>
      </c>
      <c r="EY25">
        <f>IF(Plants!133:133,"AAAAAH9n9po=",0)</f>
        <v>0</v>
      </c>
      <c r="EZ25" t="e">
        <f>AND(Plants!A133,"AAAAAH9n9ps=")</f>
        <v>#VALUE!</v>
      </c>
      <c r="FA25" t="e">
        <f>AND(Plants!B133,"AAAAAH9n9pw=")</f>
        <v>#VALUE!</v>
      </c>
      <c r="FB25" t="e">
        <f>AND(Plants!C133,"AAAAAH9n9p0=")</f>
        <v>#VALUE!</v>
      </c>
      <c r="FC25" t="e">
        <f>AND(Plants!D133,"AAAAAH9n9p4=")</f>
        <v>#VALUE!</v>
      </c>
      <c r="FD25" t="e">
        <f>AND(Plants!E133,"AAAAAH9n9p8=")</f>
        <v>#VALUE!</v>
      </c>
      <c r="FE25" t="e">
        <f>AND(Plants!F133,"AAAAAH9n9qA=")</f>
        <v>#VALUE!</v>
      </c>
      <c r="FF25" t="e">
        <f>AND(Plants!G133,"AAAAAH9n9qE=")</f>
        <v>#VALUE!</v>
      </c>
      <c r="FG25" t="e">
        <f>AND(Plants!H133,"AAAAAH9n9qI=")</f>
        <v>#VALUE!</v>
      </c>
      <c r="FH25" t="e">
        <f>AND(Plants!I133,"AAAAAH9n9qM=")</f>
        <v>#VALUE!</v>
      </c>
      <c r="FI25" t="e">
        <f>AND(Plants!J133,"AAAAAH9n9qQ=")</f>
        <v>#VALUE!</v>
      </c>
      <c r="FJ25" t="e">
        <f>AND(Plants!K133,"AAAAAH9n9qU=")</f>
        <v>#VALUE!</v>
      </c>
      <c r="FK25" t="e">
        <f>AND(Plants!L133,"AAAAAH9n9qY=")</f>
        <v>#VALUE!</v>
      </c>
      <c r="FL25" t="e">
        <f>AND(Plants!M133,"AAAAAH9n9qc=")</f>
        <v>#VALUE!</v>
      </c>
      <c r="FM25" t="e">
        <f>AND(Plants!N133,"AAAAAH9n9qg=")</f>
        <v>#VALUE!</v>
      </c>
      <c r="FN25" t="e">
        <f>AND(Plants!O133,"AAAAAH9n9qk=")</f>
        <v>#VALUE!</v>
      </c>
      <c r="FO25" t="e">
        <f>AND(Plants!P133,"AAAAAH9n9qo=")</f>
        <v>#VALUE!</v>
      </c>
      <c r="FP25" t="e">
        <f>AND(Plants!Q133,"AAAAAH9n9qs=")</f>
        <v>#VALUE!</v>
      </c>
      <c r="FQ25">
        <f>IF(Plants!134:134,"AAAAAH9n9qw=",0)</f>
        <v>0</v>
      </c>
      <c r="FR25" t="e">
        <f>AND(Plants!A134,"AAAAAH9n9q0=")</f>
        <v>#VALUE!</v>
      </c>
      <c r="FS25" t="e">
        <f>AND(Plants!B134,"AAAAAH9n9q4=")</f>
        <v>#VALUE!</v>
      </c>
      <c r="FT25" t="e">
        <f>AND(Plants!C134,"AAAAAH9n9q8=")</f>
        <v>#VALUE!</v>
      </c>
      <c r="FU25" t="e">
        <f>AND(Plants!D134,"AAAAAH9n9rA=")</f>
        <v>#VALUE!</v>
      </c>
      <c r="FV25" t="e">
        <f>AND(Plants!E134,"AAAAAH9n9rE=")</f>
        <v>#VALUE!</v>
      </c>
      <c r="FW25" t="e">
        <f>AND(Plants!F134,"AAAAAH9n9rI=")</f>
        <v>#VALUE!</v>
      </c>
      <c r="FX25" t="e">
        <f>AND(Plants!G134,"AAAAAH9n9rM=")</f>
        <v>#VALUE!</v>
      </c>
      <c r="FY25" t="e">
        <f>AND(Plants!H134,"AAAAAH9n9rQ=")</f>
        <v>#VALUE!</v>
      </c>
      <c r="FZ25" t="e">
        <f>AND(Plants!I134,"AAAAAH9n9rU=")</f>
        <v>#VALUE!</v>
      </c>
      <c r="GA25" t="e">
        <f>AND(Plants!J134,"AAAAAH9n9rY=")</f>
        <v>#VALUE!</v>
      </c>
      <c r="GB25" t="e">
        <f>AND(Plants!K134,"AAAAAH9n9rc=")</f>
        <v>#VALUE!</v>
      </c>
      <c r="GC25" t="e">
        <f>AND(Plants!L134,"AAAAAH9n9rg=")</f>
        <v>#VALUE!</v>
      </c>
      <c r="GD25" t="e">
        <f>AND(Plants!M134,"AAAAAH9n9rk=")</f>
        <v>#VALUE!</v>
      </c>
      <c r="GE25" t="e">
        <f>AND(Plants!N134,"AAAAAH9n9ro=")</f>
        <v>#VALUE!</v>
      </c>
      <c r="GF25" t="e">
        <f>AND(Plants!O134,"AAAAAH9n9rs=")</f>
        <v>#VALUE!</v>
      </c>
      <c r="GG25" t="e">
        <f>AND(Plants!P134,"AAAAAH9n9rw=")</f>
        <v>#VALUE!</v>
      </c>
      <c r="GH25" t="e">
        <f>AND(Plants!Q134,"AAAAAH9n9r0=")</f>
        <v>#VALUE!</v>
      </c>
      <c r="GI25">
        <f>IF(Plants!135:135,"AAAAAH9n9r4=",0)</f>
        <v>0</v>
      </c>
      <c r="GJ25" t="e">
        <f>AND(Plants!A135,"AAAAAH9n9r8=")</f>
        <v>#VALUE!</v>
      </c>
      <c r="GK25" t="e">
        <f>AND(Plants!B135,"AAAAAH9n9sA=")</f>
        <v>#VALUE!</v>
      </c>
      <c r="GL25" t="e">
        <f>AND(Plants!C135,"AAAAAH9n9sE=")</f>
        <v>#VALUE!</v>
      </c>
      <c r="GM25" t="e">
        <f>AND(Plants!D135,"AAAAAH9n9sI=")</f>
        <v>#VALUE!</v>
      </c>
      <c r="GN25" t="e">
        <f>AND(Plants!E135,"AAAAAH9n9sM=")</f>
        <v>#VALUE!</v>
      </c>
      <c r="GO25" t="e">
        <f>AND(Plants!F135,"AAAAAH9n9sQ=")</f>
        <v>#VALUE!</v>
      </c>
      <c r="GP25" t="e">
        <f>AND(Plants!G135,"AAAAAH9n9sU=")</f>
        <v>#VALUE!</v>
      </c>
      <c r="GQ25" t="e">
        <f>AND(Plants!H135,"AAAAAH9n9sY=")</f>
        <v>#VALUE!</v>
      </c>
      <c r="GR25" t="e">
        <f>AND(Plants!I135,"AAAAAH9n9sc=")</f>
        <v>#VALUE!</v>
      </c>
      <c r="GS25" t="e">
        <f>AND(Plants!J135,"AAAAAH9n9sg=")</f>
        <v>#VALUE!</v>
      </c>
      <c r="GT25" t="e">
        <f>AND(Plants!K135,"AAAAAH9n9sk=")</f>
        <v>#VALUE!</v>
      </c>
      <c r="GU25" t="e">
        <f>AND(Plants!L135,"AAAAAH9n9so=")</f>
        <v>#VALUE!</v>
      </c>
      <c r="GV25" t="e">
        <f>AND(Plants!M135,"AAAAAH9n9ss=")</f>
        <v>#VALUE!</v>
      </c>
      <c r="GW25" t="e">
        <f>AND(Plants!N135,"AAAAAH9n9sw=")</f>
        <v>#VALUE!</v>
      </c>
      <c r="GX25" t="e">
        <f>AND(Plants!O135,"AAAAAH9n9s0=")</f>
        <v>#VALUE!</v>
      </c>
      <c r="GY25" t="e">
        <f>AND(Plants!P135,"AAAAAH9n9s4=")</f>
        <v>#VALUE!</v>
      </c>
      <c r="GZ25" t="e">
        <f>AND(Plants!Q135,"AAAAAH9n9s8=")</f>
        <v>#VALUE!</v>
      </c>
      <c r="HA25">
        <f>IF(Plants!136:136,"AAAAAH9n9tA=",0)</f>
        <v>0</v>
      </c>
      <c r="HB25" t="e">
        <f>AND(Plants!A136,"AAAAAH9n9tE=")</f>
        <v>#VALUE!</v>
      </c>
      <c r="HC25" t="e">
        <f>AND(Plants!B136,"AAAAAH9n9tI=")</f>
        <v>#VALUE!</v>
      </c>
      <c r="HD25" t="e">
        <f>AND(Plants!C136,"AAAAAH9n9tM=")</f>
        <v>#VALUE!</v>
      </c>
      <c r="HE25" t="e">
        <f>AND(Plants!D136,"AAAAAH9n9tQ=")</f>
        <v>#VALUE!</v>
      </c>
      <c r="HF25" t="e">
        <f>AND(Plants!E136,"AAAAAH9n9tU=")</f>
        <v>#VALUE!</v>
      </c>
      <c r="HG25" t="e">
        <f>AND(Plants!F136,"AAAAAH9n9tY=")</f>
        <v>#VALUE!</v>
      </c>
      <c r="HH25" t="e">
        <f>AND(Plants!G136,"AAAAAH9n9tc=")</f>
        <v>#VALUE!</v>
      </c>
      <c r="HI25" t="e">
        <f>AND(Plants!H136,"AAAAAH9n9tg=")</f>
        <v>#VALUE!</v>
      </c>
      <c r="HJ25" t="e">
        <f>AND(Plants!I136,"AAAAAH9n9tk=")</f>
        <v>#VALUE!</v>
      </c>
      <c r="HK25" t="e">
        <f>AND(Plants!J136,"AAAAAH9n9to=")</f>
        <v>#VALUE!</v>
      </c>
      <c r="HL25" t="e">
        <f>AND(Plants!K136,"AAAAAH9n9ts=")</f>
        <v>#VALUE!</v>
      </c>
      <c r="HM25" t="e">
        <f>AND(Plants!L136,"AAAAAH9n9tw=")</f>
        <v>#VALUE!</v>
      </c>
      <c r="HN25" t="e">
        <f>AND(Plants!M136,"AAAAAH9n9t0=")</f>
        <v>#VALUE!</v>
      </c>
      <c r="HO25" t="e">
        <f>AND(Plants!N136,"AAAAAH9n9t4=")</f>
        <v>#VALUE!</v>
      </c>
      <c r="HP25" t="e">
        <f>AND(Plants!O136,"AAAAAH9n9t8=")</f>
        <v>#VALUE!</v>
      </c>
      <c r="HQ25" t="e">
        <f>AND(Plants!P136,"AAAAAH9n9uA=")</f>
        <v>#VALUE!</v>
      </c>
      <c r="HR25" t="e">
        <f>AND(Plants!Q136,"AAAAAH9n9uE=")</f>
        <v>#VALUE!</v>
      </c>
      <c r="HS25">
        <f>IF(Plants!137:137,"AAAAAH9n9uI=",0)</f>
        <v>0</v>
      </c>
      <c r="HT25" t="e">
        <f>AND(Plants!A137,"AAAAAH9n9uM=")</f>
        <v>#VALUE!</v>
      </c>
      <c r="HU25" t="e">
        <f>AND(Plants!B137,"AAAAAH9n9uQ=")</f>
        <v>#VALUE!</v>
      </c>
      <c r="HV25" t="e">
        <f>AND(Plants!C137,"AAAAAH9n9uU=")</f>
        <v>#VALUE!</v>
      </c>
      <c r="HW25" t="e">
        <f>AND(Plants!D137,"AAAAAH9n9uY=")</f>
        <v>#VALUE!</v>
      </c>
      <c r="HX25" t="e">
        <f>AND(Plants!E137,"AAAAAH9n9uc=")</f>
        <v>#VALUE!</v>
      </c>
      <c r="HY25" t="e">
        <f>AND(Plants!F137,"AAAAAH9n9ug=")</f>
        <v>#VALUE!</v>
      </c>
      <c r="HZ25" t="e">
        <f>AND(Plants!G137,"AAAAAH9n9uk=")</f>
        <v>#VALUE!</v>
      </c>
      <c r="IA25" t="e">
        <f>AND(Plants!H137,"AAAAAH9n9uo=")</f>
        <v>#VALUE!</v>
      </c>
      <c r="IB25" t="e">
        <f>AND(Plants!I137,"AAAAAH9n9us=")</f>
        <v>#VALUE!</v>
      </c>
      <c r="IC25" t="e">
        <f>AND(Plants!J137,"AAAAAH9n9uw=")</f>
        <v>#VALUE!</v>
      </c>
      <c r="ID25" t="e">
        <f>AND(Plants!K137,"AAAAAH9n9u0=")</f>
        <v>#VALUE!</v>
      </c>
      <c r="IE25" t="e">
        <f>AND(Plants!L137,"AAAAAH9n9u4=")</f>
        <v>#VALUE!</v>
      </c>
      <c r="IF25" t="e">
        <f>AND(Plants!M137,"AAAAAH9n9u8=")</f>
        <v>#VALUE!</v>
      </c>
      <c r="IG25" t="e">
        <f>AND(Plants!N137,"AAAAAH9n9vA=")</f>
        <v>#VALUE!</v>
      </c>
      <c r="IH25" t="e">
        <f>AND(Plants!O137,"AAAAAH9n9vE=")</f>
        <v>#VALUE!</v>
      </c>
      <c r="II25" t="e">
        <f>AND(Plants!P137,"AAAAAH9n9vI=")</f>
        <v>#VALUE!</v>
      </c>
      <c r="IJ25" t="e">
        <f>AND(Plants!Q137,"AAAAAH9n9vM=")</f>
        <v>#VALUE!</v>
      </c>
      <c r="IK25">
        <f>IF(Plants!138:138,"AAAAAH9n9vQ=",0)</f>
        <v>0</v>
      </c>
      <c r="IL25" t="e">
        <f>AND(Plants!A138,"AAAAAH9n9vU=")</f>
        <v>#VALUE!</v>
      </c>
      <c r="IM25" t="e">
        <f>AND(Plants!B138,"AAAAAH9n9vY=")</f>
        <v>#VALUE!</v>
      </c>
      <c r="IN25" t="e">
        <f>AND(Plants!C138,"AAAAAH9n9vc=")</f>
        <v>#VALUE!</v>
      </c>
      <c r="IO25" t="e">
        <f>AND(Plants!D138,"AAAAAH9n9vg=")</f>
        <v>#VALUE!</v>
      </c>
      <c r="IP25" t="e">
        <f>AND(Plants!E138,"AAAAAH9n9vk=")</f>
        <v>#VALUE!</v>
      </c>
      <c r="IQ25" t="e">
        <f>AND(Plants!F138,"AAAAAH9n9vo=")</f>
        <v>#VALUE!</v>
      </c>
      <c r="IR25" t="e">
        <f>AND(Plants!G138,"AAAAAH9n9vs=")</f>
        <v>#VALUE!</v>
      </c>
      <c r="IS25" t="e">
        <f>AND(Plants!H138,"AAAAAH9n9vw=")</f>
        <v>#VALUE!</v>
      </c>
      <c r="IT25" t="e">
        <f>AND(Plants!I138,"AAAAAH9n9v0=")</f>
        <v>#VALUE!</v>
      </c>
      <c r="IU25" t="e">
        <f>AND(Plants!J138,"AAAAAH9n9v4=")</f>
        <v>#VALUE!</v>
      </c>
      <c r="IV25" t="e">
        <f>AND(Plants!K138,"AAAAAH9n9v8=")</f>
        <v>#VALUE!</v>
      </c>
    </row>
    <row r="26" spans="1:256">
      <c r="A26" t="e">
        <f>AND(Plants!L138,"AAAAAH/5/AA=")</f>
        <v>#VALUE!</v>
      </c>
      <c r="B26" t="e">
        <f>AND(Plants!M138,"AAAAAH/5/AE=")</f>
        <v>#VALUE!</v>
      </c>
      <c r="C26" t="e">
        <f>AND(Plants!N138,"AAAAAH/5/AI=")</f>
        <v>#VALUE!</v>
      </c>
      <c r="D26" t="e">
        <f>AND(Plants!O138,"AAAAAH/5/AM=")</f>
        <v>#VALUE!</v>
      </c>
      <c r="E26" t="e">
        <f>AND(Plants!P138,"AAAAAH/5/AQ=")</f>
        <v>#VALUE!</v>
      </c>
      <c r="F26" t="e">
        <f>AND(Plants!Q138,"AAAAAH/5/AU=")</f>
        <v>#VALUE!</v>
      </c>
      <c r="G26">
        <f>IF(Plants!139:139,"AAAAAH/5/AY=",0)</f>
        <v>0</v>
      </c>
      <c r="H26" t="e">
        <f>AND(Plants!A139,"AAAAAH/5/Ac=")</f>
        <v>#VALUE!</v>
      </c>
      <c r="I26" t="e">
        <f>AND(Plants!B139,"AAAAAH/5/Ag=")</f>
        <v>#VALUE!</v>
      </c>
      <c r="J26" t="e">
        <f>AND(Plants!C139,"AAAAAH/5/Ak=")</f>
        <v>#VALUE!</v>
      </c>
      <c r="K26" t="e">
        <f>AND(Plants!D139,"AAAAAH/5/Ao=")</f>
        <v>#VALUE!</v>
      </c>
      <c r="L26" t="e">
        <f>AND(Plants!E139,"AAAAAH/5/As=")</f>
        <v>#VALUE!</v>
      </c>
      <c r="M26" t="e">
        <f>AND(Plants!F139,"AAAAAH/5/Aw=")</f>
        <v>#VALUE!</v>
      </c>
      <c r="N26" t="e">
        <f>AND(Plants!G139,"AAAAAH/5/A0=")</f>
        <v>#VALUE!</v>
      </c>
      <c r="O26" t="e">
        <f>AND(Plants!H139,"AAAAAH/5/A4=")</f>
        <v>#VALUE!</v>
      </c>
      <c r="P26" t="e">
        <f>AND(Plants!I139,"AAAAAH/5/A8=")</f>
        <v>#VALUE!</v>
      </c>
      <c r="Q26" t="e">
        <f>AND(Plants!J139,"AAAAAH/5/BA=")</f>
        <v>#VALUE!</v>
      </c>
      <c r="R26" t="e">
        <f>AND(Plants!K139,"AAAAAH/5/BE=")</f>
        <v>#VALUE!</v>
      </c>
      <c r="S26" t="e">
        <f>AND(Plants!L139,"AAAAAH/5/BI=")</f>
        <v>#VALUE!</v>
      </c>
      <c r="T26" t="e">
        <f>AND(Plants!M139,"AAAAAH/5/BM=")</f>
        <v>#VALUE!</v>
      </c>
      <c r="U26" t="e">
        <f>AND(Plants!N139,"AAAAAH/5/BQ=")</f>
        <v>#VALUE!</v>
      </c>
      <c r="V26" t="e">
        <f>AND(Plants!O139,"AAAAAH/5/BU=")</f>
        <v>#VALUE!</v>
      </c>
      <c r="W26" t="e">
        <f>AND(Plants!P139,"AAAAAH/5/BY=")</f>
        <v>#VALUE!</v>
      </c>
      <c r="X26" t="e">
        <f>AND(Plants!Q139,"AAAAAH/5/Bc=")</f>
        <v>#VALUE!</v>
      </c>
      <c r="Y26">
        <f>IF(Plants!140:140,"AAAAAH/5/Bg=",0)</f>
        <v>0</v>
      </c>
      <c r="Z26" t="e">
        <f>AND(Plants!A140,"AAAAAH/5/Bk=")</f>
        <v>#VALUE!</v>
      </c>
      <c r="AA26" t="e">
        <f>AND(Plants!B140,"AAAAAH/5/Bo=")</f>
        <v>#VALUE!</v>
      </c>
      <c r="AB26" t="e">
        <f>AND(Plants!C140,"AAAAAH/5/Bs=")</f>
        <v>#VALUE!</v>
      </c>
      <c r="AC26" t="e">
        <f>AND(Plants!D140,"AAAAAH/5/Bw=")</f>
        <v>#VALUE!</v>
      </c>
      <c r="AD26" t="e">
        <f>AND(Plants!E140,"AAAAAH/5/B0=")</f>
        <v>#VALUE!</v>
      </c>
      <c r="AE26" t="e">
        <f>AND(Plants!F140,"AAAAAH/5/B4=")</f>
        <v>#VALUE!</v>
      </c>
      <c r="AF26" t="e">
        <f>AND(Plants!G140,"AAAAAH/5/B8=")</f>
        <v>#VALUE!</v>
      </c>
      <c r="AG26" t="e">
        <f>AND(Plants!H140,"AAAAAH/5/CA=")</f>
        <v>#VALUE!</v>
      </c>
      <c r="AH26" t="e">
        <f>AND(Plants!I140,"AAAAAH/5/CE=")</f>
        <v>#VALUE!</v>
      </c>
      <c r="AI26" t="e">
        <f>AND(Plants!J140,"AAAAAH/5/CI=")</f>
        <v>#VALUE!</v>
      </c>
      <c r="AJ26" t="e">
        <f>AND(Plants!K140,"AAAAAH/5/CM=")</f>
        <v>#VALUE!</v>
      </c>
      <c r="AK26" t="e">
        <f>AND(Plants!L140,"AAAAAH/5/CQ=")</f>
        <v>#VALUE!</v>
      </c>
      <c r="AL26" t="e">
        <f>AND(Plants!M140,"AAAAAH/5/CU=")</f>
        <v>#VALUE!</v>
      </c>
      <c r="AM26" t="e">
        <f>AND(Plants!N140,"AAAAAH/5/CY=")</f>
        <v>#VALUE!</v>
      </c>
      <c r="AN26" t="e">
        <f>AND(Plants!O140,"AAAAAH/5/Cc=")</f>
        <v>#VALUE!</v>
      </c>
      <c r="AO26" t="e">
        <f>AND(Plants!P140,"AAAAAH/5/Cg=")</f>
        <v>#VALUE!</v>
      </c>
      <c r="AP26" t="e">
        <f>AND(Plants!Q140,"AAAAAH/5/Ck=")</f>
        <v>#VALUE!</v>
      </c>
      <c r="AQ26">
        <f>IF(Plants!141:141,"AAAAAH/5/Co=",0)</f>
        <v>0</v>
      </c>
      <c r="AR26" t="e">
        <f>AND(Plants!A141,"AAAAAH/5/Cs=")</f>
        <v>#VALUE!</v>
      </c>
      <c r="AS26" t="e">
        <f>AND(Plants!B141,"AAAAAH/5/Cw=")</f>
        <v>#VALUE!</v>
      </c>
      <c r="AT26" t="e">
        <f>AND(Plants!C141,"AAAAAH/5/C0=")</f>
        <v>#VALUE!</v>
      </c>
      <c r="AU26" t="e">
        <f>AND(Plants!D141,"AAAAAH/5/C4=")</f>
        <v>#VALUE!</v>
      </c>
      <c r="AV26" t="e">
        <f>AND(Plants!E141,"AAAAAH/5/C8=")</f>
        <v>#VALUE!</v>
      </c>
      <c r="AW26" t="e">
        <f>AND(Plants!F141,"AAAAAH/5/DA=")</f>
        <v>#VALUE!</v>
      </c>
      <c r="AX26" t="e">
        <f>AND(Plants!G141,"AAAAAH/5/DE=")</f>
        <v>#VALUE!</v>
      </c>
      <c r="AY26" t="e">
        <f>AND(Plants!H141,"AAAAAH/5/DI=")</f>
        <v>#VALUE!</v>
      </c>
      <c r="AZ26" t="e">
        <f>AND(Plants!I141,"AAAAAH/5/DM=")</f>
        <v>#VALUE!</v>
      </c>
      <c r="BA26" t="e">
        <f>AND(Plants!J141,"AAAAAH/5/DQ=")</f>
        <v>#VALUE!</v>
      </c>
      <c r="BB26" t="e">
        <f>AND(Plants!K141,"AAAAAH/5/DU=")</f>
        <v>#VALUE!</v>
      </c>
      <c r="BC26" t="e">
        <f>AND(Plants!L141,"AAAAAH/5/DY=")</f>
        <v>#VALUE!</v>
      </c>
      <c r="BD26" t="e">
        <f>AND(Plants!M141,"AAAAAH/5/Dc=")</f>
        <v>#VALUE!</v>
      </c>
      <c r="BE26" t="e">
        <f>AND(Plants!N141,"AAAAAH/5/Dg=")</f>
        <v>#VALUE!</v>
      </c>
      <c r="BF26" t="e">
        <f>AND(Plants!O141,"AAAAAH/5/Dk=")</f>
        <v>#VALUE!</v>
      </c>
      <c r="BG26" t="e">
        <f>AND(Plants!P141,"AAAAAH/5/Do=")</f>
        <v>#VALUE!</v>
      </c>
      <c r="BH26" t="e">
        <f>AND(Plants!Q141,"AAAAAH/5/Ds=")</f>
        <v>#VALUE!</v>
      </c>
      <c r="BI26">
        <f>IF(Plants!142:142,"AAAAAH/5/Dw=",0)</f>
        <v>0</v>
      </c>
      <c r="BJ26" t="e">
        <f>AND(Plants!A142,"AAAAAH/5/D0=")</f>
        <v>#VALUE!</v>
      </c>
      <c r="BK26" t="e">
        <f>AND(Plants!B142,"AAAAAH/5/D4=")</f>
        <v>#VALUE!</v>
      </c>
      <c r="BL26" t="e">
        <f>AND(Plants!C142,"AAAAAH/5/D8=")</f>
        <v>#VALUE!</v>
      </c>
      <c r="BM26" t="e">
        <f>AND(Plants!D142,"AAAAAH/5/EA=")</f>
        <v>#VALUE!</v>
      </c>
      <c r="BN26" t="e">
        <f>AND(Plants!E142,"AAAAAH/5/EE=")</f>
        <v>#VALUE!</v>
      </c>
      <c r="BO26" t="e">
        <f>AND(Plants!F142,"AAAAAH/5/EI=")</f>
        <v>#VALUE!</v>
      </c>
      <c r="BP26" t="e">
        <f>AND(Plants!G142,"AAAAAH/5/EM=")</f>
        <v>#VALUE!</v>
      </c>
      <c r="BQ26" t="e">
        <f>AND(Plants!H142,"AAAAAH/5/EQ=")</f>
        <v>#VALUE!</v>
      </c>
      <c r="BR26" t="e">
        <f>AND(Plants!I142,"AAAAAH/5/EU=")</f>
        <v>#VALUE!</v>
      </c>
      <c r="BS26" t="e">
        <f>AND(Plants!J142,"AAAAAH/5/EY=")</f>
        <v>#VALUE!</v>
      </c>
      <c r="BT26" t="e">
        <f>AND(Plants!K142,"AAAAAH/5/Ec=")</f>
        <v>#VALUE!</v>
      </c>
      <c r="BU26" t="e">
        <f>AND(Plants!L142,"AAAAAH/5/Eg=")</f>
        <v>#VALUE!</v>
      </c>
      <c r="BV26" t="e">
        <f>AND(Plants!M142,"AAAAAH/5/Ek=")</f>
        <v>#VALUE!</v>
      </c>
      <c r="BW26" t="e">
        <f>AND(Plants!N142,"AAAAAH/5/Eo=")</f>
        <v>#VALUE!</v>
      </c>
      <c r="BX26" t="e">
        <f>AND(Plants!O142,"AAAAAH/5/Es=")</f>
        <v>#VALUE!</v>
      </c>
      <c r="BY26" t="e">
        <f>AND(Plants!P142,"AAAAAH/5/Ew=")</f>
        <v>#VALUE!</v>
      </c>
      <c r="BZ26" t="e">
        <f>AND(Plants!Q142,"AAAAAH/5/E0=")</f>
        <v>#VALUE!</v>
      </c>
      <c r="CA26">
        <f>IF(Plants!143:143,"AAAAAH/5/E4=",0)</f>
        <v>0</v>
      </c>
      <c r="CB26" t="e">
        <f>AND(Plants!A143,"AAAAAH/5/E8=")</f>
        <v>#VALUE!</v>
      </c>
      <c r="CC26" t="e">
        <f>AND(Plants!B143,"AAAAAH/5/FA=")</f>
        <v>#VALUE!</v>
      </c>
      <c r="CD26" t="e">
        <f>AND(Plants!C143,"AAAAAH/5/FE=")</f>
        <v>#VALUE!</v>
      </c>
      <c r="CE26" t="e">
        <f>AND(Plants!D143,"AAAAAH/5/FI=")</f>
        <v>#VALUE!</v>
      </c>
      <c r="CF26" t="e">
        <f>AND(Plants!E143,"AAAAAH/5/FM=")</f>
        <v>#VALUE!</v>
      </c>
      <c r="CG26" t="e">
        <f>AND(Plants!F143,"AAAAAH/5/FQ=")</f>
        <v>#VALUE!</v>
      </c>
      <c r="CH26" t="e">
        <f>AND(Plants!G143,"AAAAAH/5/FU=")</f>
        <v>#VALUE!</v>
      </c>
      <c r="CI26" t="e">
        <f>AND(Plants!H143,"AAAAAH/5/FY=")</f>
        <v>#VALUE!</v>
      </c>
      <c r="CJ26" t="e">
        <f>AND(Plants!I143,"AAAAAH/5/Fc=")</f>
        <v>#VALUE!</v>
      </c>
      <c r="CK26" t="e">
        <f>AND(Plants!J143,"AAAAAH/5/Fg=")</f>
        <v>#VALUE!</v>
      </c>
      <c r="CL26" t="e">
        <f>AND(Plants!K143,"AAAAAH/5/Fk=")</f>
        <v>#VALUE!</v>
      </c>
      <c r="CM26" t="e">
        <f>AND(Plants!L143,"AAAAAH/5/Fo=")</f>
        <v>#VALUE!</v>
      </c>
      <c r="CN26" t="e">
        <f>AND(Plants!M143,"AAAAAH/5/Fs=")</f>
        <v>#VALUE!</v>
      </c>
      <c r="CO26" t="e">
        <f>AND(Plants!N143,"AAAAAH/5/Fw=")</f>
        <v>#VALUE!</v>
      </c>
      <c r="CP26" t="e">
        <f>AND(Plants!O143,"AAAAAH/5/F0=")</f>
        <v>#VALUE!</v>
      </c>
      <c r="CQ26" t="e">
        <f>AND(Plants!P143,"AAAAAH/5/F4=")</f>
        <v>#VALUE!</v>
      </c>
      <c r="CR26" t="e">
        <f>AND(Plants!Q143,"AAAAAH/5/F8=")</f>
        <v>#VALUE!</v>
      </c>
      <c r="CS26">
        <f>IF(Plants!144:144,"AAAAAH/5/GA=",0)</f>
        <v>0</v>
      </c>
      <c r="CT26" t="e">
        <f>AND(Plants!A144,"AAAAAH/5/GE=")</f>
        <v>#VALUE!</v>
      </c>
      <c r="CU26" t="e">
        <f>AND(Plants!B144,"AAAAAH/5/GI=")</f>
        <v>#VALUE!</v>
      </c>
      <c r="CV26" t="e">
        <f>AND(Plants!C144,"AAAAAH/5/GM=")</f>
        <v>#VALUE!</v>
      </c>
      <c r="CW26" t="e">
        <f>AND(Plants!D144,"AAAAAH/5/GQ=")</f>
        <v>#VALUE!</v>
      </c>
      <c r="CX26" t="e">
        <f>AND(Plants!E144,"AAAAAH/5/GU=")</f>
        <v>#VALUE!</v>
      </c>
      <c r="CY26" t="e">
        <f>AND(Plants!F144,"AAAAAH/5/GY=")</f>
        <v>#VALUE!</v>
      </c>
      <c r="CZ26" t="e">
        <f>AND(Plants!G144,"AAAAAH/5/Gc=")</f>
        <v>#VALUE!</v>
      </c>
      <c r="DA26" t="e">
        <f>AND(Plants!H144,"AAAAAH/5/Gg=")</f>
        <v>#VALUE!</v>
      </c>
      <c r="DB26" t="e">
        <f>AND(Plants!I144,"AAAAAH/5/Gk=")</f>
        <v>#VALUE!</v>
      </c>
      <c r="DC26" t="e">
        <f>AND(Plants!J144,"AAAAAH/5/Go=")</f>
        <v>#VALUE!</v>
      </c>
      <c r="DD26" t="e">
        <f>AND(Plants!K144,"AAAAAH/5/Gs=")</f>
        <v>#VALUE!</v>
      </c>
      <c r="DE26" t="e">
        <f>AND(Plants!L144,"AAAAAH/5/Gw=")</f>
        <v>#VALUE!</v>
      </c>
      <c r="DF26" t="e">
        <f>AND(Plants!M144,"AAAAAH/5/G0=")</f>
        <v>#VALUE!</v>
      </c>
      <c r="DG26" t="e">
        <f>AND(Plants!N144,"AAAAAH/5/G4=")</f>
        <v>#VALUE!</v>
      </c>
      <c r="DH26" t="e">
        <f>AND(Plants!O144,"AAAAAH/5/G8=")</f>
        <v>#VALUE!</v>
      </c>
      <c r="DI26" t="e">
        <f>AND(Plants!P144,"AAAAAH/5/HA=")</f>
        <v>#VALUE!</v>
      </c>
      <c r="DJ26" t="e">
        <f>AND(Plants!Q144,"AAAAAH/5/HE=")</f>
        <v>#VALUE!</v>
      </c>
      <c r="DK26">
        <f>IF(Plants!145:145,"AAAAAH/5/HI=",0)</f>
        <v>0</v>
      </c>
      <c r="DL26" t="e">
        <f>AND(Plants!A145,"AAAAAH/5/HM=")</f>
        <v>#VALUE!</v>
      </c>
      <c r="DM26" t="e">
        <f>AND(Plants!B145,"AAAAAH/5/HQ=")</f>
        <v>#VALUE!</v>
      </c>
      <c r="DN26" t="e">
        <f>AND(Plants!C145,"AAAAAH/5/HU=")</f>
        <v>#VALUE!</v>
      </c>
      <c r="DO26" t="e">
        <f>AND(Plants!D145,"AAAAAH/5/HY=")</f>
        <v>#VALUE!</v>
      </c>
      <c r="DP26" t="e">
        <f>AND(Plants!E145,"AAAAAH/5/Hc=")</f>
        <v>#VALUE!</v>
      </c>
      <c r="DQ26" t="e">
        <f>AND(Plants!F145,"AAAAAH/5/Hg=")</f>
        <v>#VALUE!</v>
      </c>
      <c r="DR26" t="e">
        <f>AND(Plants!G145,"AAAAAH/5/Hk=")</f>
        <v>#VALUE!</v>
      </c>
      <c r="DS26" t="e">
        <f>AND(Plants!H145,"AAAAAH/5/Ho=")</f>
        <v>#VALUE!</v>
      </c>
      <c r="DT26" t="e">
        <f>AND(Plants!I145,"AAAAAH/5/Hs=")</f>
        <v>#VALUE!</v>
      </c>
      <c r="DU26" t="e">
        <f>AND(Plants!J145,"AAAAAH/5/Hw=")</f>
        <v>#VALUE!</v>
      </c>
      <c r="DV26" t="e">
        <f>AND(Plants!K145,"AAAAAH/5/H0=")</f>
        <v>#VALUE!</v>
      </c>
      <c r="DW26" t="e">
        <f>AND(Plants!L145,"AAAAAH/5/H4=")</f>
        <v>#VALUE!</v>
      </c>
      <c r="DX26" t="e">
        <f>AND(Plants!M145,"AAAAAH/5/H8=")</f>
        <v>#VALUE!</v>
      </c>
      <c r="DY26" t="e">
        <f>AND(Plants!N145,"AAAAAH/5/IA=")</f>
        <v>#VALUE!</v>
      </c>
      <c r="DZ26" t="e">
        <f>AND(Plants!O145,"AAAAAH/5/IE=")</f>
        <v>#VALUE!</v>
      </c>
      <c r="EA26" t="e">
        <f>AND(Plants!P145,"AAAAAH/5/II=")</f>
        <v>#VALUE!</v>
      </c>
      <c r="EB26" t="e">
        <f>AND(Plants!Q145,"AAAAAH/5/IM=")</f>
        <v>#VALUE!</v>
      </c>
      <c r="EC26">
        <f>IF(Plants!146:146,"AAAAAH/5/IQ=",0)</f>
        <v>0</v>
      </c>
      <c r="ED26" t="e">
        <f>AND(Plants!A146,"AAAAAH/5/IU=")</f>
        <v>#VALUE!</v>
      </c>
      <c r="EE26" t="e">
        <f>AND(Plants!B146,"AAAAAH/5/IY=")</f>
        <v>#VALUE!</v>
      </c>
      <c r="EF26" t="e">
        <f>AND(Plants!C146,"AAAAAH/5/Ic=")</f>
        <v>#VALUE!</v>
      </c>
      <c r="EG26" t="e">
        <f>AND(Plants!D146,"AAAAAH/5/Ig=")</f>
        <v>#VALUE!</v>
      </c>
      <c r="EH26" t="e">
        <f>AND(Plants!E146,"AAAAAH/5/Ik=")</f>
        <v>#VALUE!</v>
      </c>
      <c r="EI26" t="e">
        <f>AND(Plants!F146,"AAAAAH/5/Io=")</f>
        <v>#VALUE!</v>
      </c>
      <c r="EJ26" t="e">
        <f>AND(Plants!G146,"AAAAAH/5/Is=")</f>
        <v>#VALUE!</v>
      </c>
      <c r="EK26" t="e">
        <f>AND(Plants!H146,"AAAAAH/5/Iw=")</f>
        <v>#VALUE!</v>
      </c>
      <c r="EL26" t="e">
        <f>AND(Plants!I146,"AAAAAH/5/I0=")</f>
        <v>#VALUE!</v>
      </c>
      <c r="EM26" t="e">
        <f>AND(Plants!J146,"AAAAAH/5/I4=")</f>
        <v>#VALUE!</v>
      </c>
      <c r="EN26" t="e">
        <f>AND(Plants!K146,"AAAAAH/5/I8=")</f>
        <v>#VALUE!</v>
      </c>
      <c r="EO26" t="e">
        <f>AND(Plants!L146,"AAAAAH/5/JA=")</f>
        <v>#VALUE!</v>
      </c>
      <c r="EP26" t="e">
        <f>AND(Plants!M146,"AAAAAH/5/JE=")</f>
        <v>#VALUE!</v>
      </c>
      <c r="EQ26" t="e">
        <f>AND(Plants!N146,"AAAAAH/5/JI=")</f>
        <v>#VALUE!</v>
      </c>
      <c r="ER26" t="e">
        <f>AND(Plants!O146,"AAAAAH/5/JM=")</f>
        <v>#VALUE!</v>
      </c>
      <c r="ES26" t="e">
        <f>AND(Plants!P146,"AAAAAH/5/JQ=")</f>
        <v>#VALUE!</v>
      </c>
      <c r="ET26" t="e">
        <f>AND(Plants!Q146,"AAAAAH/5/JU=")</f>
        <v>#VALUE!</v>
      </c>
      <c r="EU26">
        <f>IF(Plants!147:147,"AAAAAH/5/JY=",0)</f>
        <v>0</v>
      </c>
      <c r="EV26" t="e">
        <f>AND(Plants!A147,"AAAAAH/5/Jc=")</f>
        <v>#VALUE!</v>
      </c>
      <c r="EW26" t="e">
        <f>AND(Plants!B147,"AAAAAH/5/Jg=")</f>
        <v>#VALUE!</v>
      </c>
      <c r="EX26" t="e">
        <f>AND(Plants!C147,"AAAAAH/5/Jk=")</f>
        <v>#VALUE!</v>
      </c>
      <c r="EY26" t="e">
        <f>AND(Plants!D147,"AAAAAH/5/Jo=")</f>
        <v>#VALUE!</v>
      </c>
      <c r="EZ26" t="e">
        <f>AND(Plants!E147,"AAAAAH/5/Js=")</f>
        <v>#VALUE!</v>
      </c>
      <c r="FA26" t="e">
        <f>AND(Plants!F147,"AAAAAH/5/Jw=")</f>
        <v>#VALUE!</v>
      </c>
      <c r="FB26" t="e">
        <f>AND(Plants!G147,"AAAAAH/5/J0=")</f>
        <v>#VALUE!</v>
      </c>
      <c r="FC26" t="e">
        <f>AND(Plants!H147,"AAAAAH/5/J4=")</f>
        <v>#VALUE!</v>
      </c>
      <c r="FD26" t="e">
        <f>AND(Plants!I147,"AAAAAH/5/J8=")</f>
        <v>#VALUE!</v>
      </c>
      <c r="FE26" t="e">
        <f>AND(Plants!J147,"AAAAAH/5/KA=")</f>
        <v>#VALUE!</v>
      </c>
      <c r="FF26" t="e">
        <f>AND(Plants!K147,"AAAAAH/5/KE=")</f>
        <v>#VALUE!</v>
      </c>
      <c r="FG26" t="e">
        <f>AND(Plants!L147,"AAAAAH/5/KI=")</f>
        <v>#VALUE!</v>
      </c>
      <c r="FH26" t="e">
        <f>AND(Plants!M147,"AAAAAH/5/KM=")</f>
        <v>#VALUE!</v>
      </c>
      <c r="FI26" t="e">
        <f>AND(Plants!N147,"AAAAAH/5/KQ=")</f>
        <v>#VALUE!</v>
      </c>
      <c r="FJ26" t="e">
        <f>AND(Plants!O147,"AAAAAH/5/KU=")</f>
        <v>#VALUE!</v>
      </c>
      <c r="FK26" t="e">
        <f>AND(Plants!P147,"AAAAAH/5/KY=")</f>
        <v>#VALUE!</v>
      </c>
      <c r="FL26" t="e">
        <f>AND(Plants!Q147,"AAAAAH/5/Kc=")</f>
        <v>#VALUE!</v>
      </c>
      <c r="FM26">
        <f>IF(Plants!148:148,"AAAAAH/5/Kg=",0)</f>
        <v>0</v>
      </c>
      <c r="FN26" t="e">
        <f>AND(Plants!A148,"AAAAAH/5/Kk=")</f>
        <v>#VALUE!</v>
      </c>
      <c r="FO26" t="e">
        <f>AND(Plants!B148,"AAAAAH/5/Ko=")</f>
        <v>#VALUE!</v>
      </c>
      <c r="FP26" t="e">
        <f>AND(Plants!C148,"AAAAAH/5/Ks=")</f>
        <v>#VALUE!</v>
      </c>
      <c r="FQ26" t="e">
        <f>AND(Plants!D148,"AAAAAH/5/Kw=")</f>
        <v>#VALUE!</v>
      </c>
      <c r="FR26" t="e">
        <f>AND(Plants!E148,"AAAAAH/5/K0=")</f>
        <v>#VALUE!</v>
      </c>
      <c r="FS26" t="e">
        <f>AND(Plants!F148,"AAAAAH/5/K4=")</f>
        <v>#VALUE!</v>
      </c>
      <c r="FT26" t="e">
        <f>AND(Plants!G148,"AAAAAH/5/K8=")</f>
        <v>#VALUE!</v>
      </c>
      <c r="FU26" t="e">
        <f>AND(Plants!H148,"AAAAAH/5/LA=")</f>
        <v>#VALUE!</v>
      </c>
      <c r="FV26" t="e">
        <f>AND(Plants!I148,"AAAAAH/5/LE=")</f>
        <v>#VALUE!</v>
      </c>
      <c r="FW26" t="e">
        <f>AND(Plants!J148,"AAAAAH/5/LI=")</f>
        <v>#VALUE!</v>
      </c>
      <c r="FX26" t="e">
        <f>AND(Plants!K148,"AAAAAH/5/LM=")</f>
        <v>#VALUE!</v>
      </c>
      <c r="FY26" t="e">
        <f>AND(Plants!L148,"AAAAAH/5/LQ=")</f>
        <v>#VALUE!</v>
      </c>
      <c r="FZ26" t="e">
        <f>AND(Plants!M148,"AAAAAH/5/LU=")</f>
        <v>#VALUE!</v>
      </c>
      <c r="GA26" t="e">
        <f>AND(Plants!N148,"AAAAAH/5/LY=")</f>
        <v>#VALUE!</v>
      </c>
      <c r="GB26" t="e">
        <f>AND(Plants!O148,"AAAAAH/5/Lc=")</f>
        <v>#VALUE!</v>
      </c>
      <c r="GC26" t="e">
        <f>AND(Plants!P148,"AAAAAH/5/Lg=")</f>
        <v>#VALUE!</v>
      </c>
      <c r="GD26" t="e">
        <f>AND(Plants!Q148,"AAAAAH/5/Lk=")</f>
        <v>#VALUE!</v>
      </c>
      <c r="GE26">
        <f>IF(Plants!149:149,"AAAAAH/5/Lo=",0)</f>
        <v>0</v>
      </c>
      <c r="GF26" t="e">
        <f>AND(Plants!A149,"AAAAAH/5/Ls=")</f>
        <v>#VALUE!</v>
      </c>
      <c r="GG26" t="e">
        <f>AND(Plants!B149,"AAAAAH/5/Lw=")</f>
        <v>#VALUE!</v>
      </c>
      <c r="GH26" t="e">
        <f>AND(Plants!C149,"AAAAAH/5/L0=")</f>
        <v>#VALUE!</v>
      </c>
      <c r="GI26" t="e">
        <f>AND(Plants!D149,"AAAAAH/5/L4=")</f>
        <v>#VALUE!</v>
      </c>
      <c r="GJ26" t="e">
        <f>AND(Plants!E149,"AAAAAH/5/L8=")</f>
        <v>#VALUE!</v>
      </c>
      <c r="GK26" t="e">
        <f>AND(Plants!F149,"AAAAAH/5/MA=")</f>
        <v>#VALUE!</v>
      </c>
      <c r="GL26" t="e">
        <f>AND(Plants!G149,"AAAAAH/5/ME=")</f>
        <v>#VALUE!</v>
      </c>
      <c r="GM26" t="e">
        <f>AND(Plants!H149,"AAAAAH/5/MI=")</f>
        <v>#VALUE!</v>
      </c>
      <c r="GN26" t="e">
        <f>AND(Plants!I149,"AAAAAH/5/MM=")</f>
        <v>#VALUE!</v>
      </c>
      <c r="GO26" t="e">
        <f>AND(Plants!J149,"AAAAAH/5/MQ=")</f>
        <v>#VALUE!</v>
      </c>
      <c r="GP26" t="e">
        <f>AND(Plants!K149,"AAAAAH/5/MU=")</f>
        <v>#VALUE!</v>
      </c>
      <c r="GQ26" t="e">
        <f>AND(Plants!L149,"AAAAAH/5/MY=")</f>
        <v>#VALUE!</v>
      </c>
      <c r="GR26" t="e">
        <f>AND(Plants!M149,"AAAAAH/5/Mc=")</f>
        <v>#VALUE!</v>
      </c>
      <c r="GS26" t="e">
        <f>AND(Plants!N149,"AAAAAH/5/Mg=")</f>
        <v>#VALUE!</v>
      </c>
      <c r="GT26" t="e">
        <f>AND(Plants!O149,"AAAAAH/5/Mk=")</f>
        <v>#VALUE!</v>
      </c>
      <c r="GU26" t="e">
        <f>AND(Plants!P149,"AAAAAH/5/Mo=")</f>
        <v>#VALUE!</v>
      </c>
      <c r="GV26" t="e">
        <f>AND(Plants!Q149,"AAAAAH/5/Ms=")</f>
        <v>#VALUE!</v>
      </c>
      <c r="GW26">
        <f>IF(Plants!150:150,"AAAAAH/5/Mw=",0)</f>
        <v>0</v>
      </c>
      <c r="GX26" t="e">
        <f>AND(Plants!A150,"AAAAAH/5/M0=")</f>
        <v>#VALUE!</v>
      </c>
      <c r="GY26" t="e">
        <f>AND(Plants!B150,"AAAAAH/5/M4=")</f>
        <v>#VALUE!</v>
      </c>
      <c r="GZ26" t="e">
        <f>AND(Plants!C150,"AAAAAH/5/M8=")</f>
        <v>#VALUE!</v>
      </c>
      <c r="HA26" t="e">
        <f>AND(Plants!D150,"AAAAAH/5/NA=")</f>
        <v>#VALUE!</v>
      </c>
      <c r="HB26" t="e">
        <f>AND(Plants!E150,"AAAAAH/5/NE=")</f>
        <v>#VALUE!</v>
      </c>
      <c r="HC26" t="e">
        <f>AND(Plants!F150,"AAAAAH/5/NI=")</f>
        <v>#VALUE!</v>
      </c>
      <c r="HD26" t="e">
        <f>AND(Plants!G150,"AAAAAH/5/NM=")</f>
        <v>#VALUE!</v>
      </c>
      <c r="HE26" t="e">
        <f>AND(Plants!H150,"AAAAAH/5/NQ=")</f>
        <v>#VALUE!</v>
      </c>
      <c r="HF26" t="e">
        <f>AND(Plants!I150,"AAAAAH/5/NU=")</f>
        <v>#VALUE!</v>
      </c>
      <c r="HG26" t="e">
        <f>AND(Plants!J150,"AAAAAH/5/NY=")</f>
        <v>#VALUE!</v>
      </c>
      <c r="HH26" t="e">
        <f>AND(Plants!K150,"AAAAAH/5/Nc=")</f>
        <v>#VALUE!</v>
      </c>
      <c r="HI26" t="e">
        <f>AND(Plants!L150,"AAAAAH/5/Ng=")</f>
        <v>#VALUE!</v>
      </c>
      <c r="HJ26" t="e">
        <f>AND(Plants!M150,"AAAAAH/5/Nk=")</f>
        <v>#VALUE!</v>
      </c>
      <c r="HK26" t="e">
        <f>AND(Plants!N150,"AAAAAH/5/No=")</f>
        <v>#VALUE!</v>
      </c>
      <c r="HL26" t="e">
        <f>AND(Plants!O150,"AAAAAH/5/Ns=")</f>
        <v>#VALUE!</v>
      </c>
      <c r="HM26" t="e">
        <f>AND(Plants!P150,"AAAAAH/5/Nw=")</f>
        <v>#VALUE!</v>
      </c>
      <c r="HN26" t="e">
        <f>AND(Plants!Q150,"AAAAAH/5/N0=")</f>
        <v>#VALUE!</v>
      </c>
      <c r="HO26">
        <f>IF(Plants!151:151,"AAAAAH/5/N4=",0)</f>
        <v>0</v>
      </c>
      <c r="HP26" t="e">
        <f>AND(Plants!A151,"AAAAAH/5/N8=")</f>
        <v>#VALUE!</v>
      </c>
      <c r="HQ26" t="e">
        <f>AND(Plants!B151,"AAAAAH/5/OA=")</f>
        <v>#VALUE!</v>
      </c>
      <c r="HR26" t="e">
        <f>AND(Plants!C151,"AAAAAH/5/OE=")</f>
        <v>#VALUE!</v>
      </c>
      <c r="HS26" t="e">
        <f>AND(Plants!D151,"AAAAAH/5/OI=")</f>
        <v>#VALUE!</v>
      </c>
      <c r="HT26" t="e">
        <f>AND(Plants!E151,"AAAAAH/5/OM=")</f>
        <v>#VALUE!</v>
      </c>
      <c r="HU26" t="e">
        <f>AND(Plants!F151,"AAAAAH/5/OQ=")</f>
        <v>#VALUE!</v>
      </c>
      <c r="HV26" t="e">
        <f>AND(Plants!G151,"AAAAAH/5/OU=")</f>
        <v>#VALUE!</v>
      </c>
      <c r="HW26" t="e">
        <f>AND(Plants!H151,"AAAAAH/5/OY=")</f>
        <v>#VALUE!</v>
      </c>
      <c r="HX26" t="e">
        <f>AND(Plants!I151,"AAAAAH/5/Oc=")</f>
        <v>#VALUE!</v>
      </c>
      <c r="HY26" t="e">
        <f>AND(Plants!J151,"AAAAAH/5/Og=")</f>
        <v>#VALUE!</v>
      </c>
      <c r="HZ26" t="e">
        <f>AND(Plants!K151,"AAAAAH/5/Ok=")</f>
        <v>#VALUE!</v>
      </c>
      <c r="IA26" t="e">
        <f>AND(Plants!L151,"AAAAAH/5/Oo=")</f>
        <v>#VALUE!</v>
      </c>
      <c r="IB26" t="e">
        <f>AND(Plants!M151,"AAAAAH/5/Os=")</f>
        <v>#VALUE!</v>
      </c>
      <c r="IC26" t="e">
        <f>AND(Plants!N151,"AAAAAH/5/Ow=")</f>
        <v>#VALUE!</v>
      </c>
      <c r="ID26" t="e">
        <f>AND(Plants!O151,"AAAAAH/5/O0=")</f>
        <v>#VALUE!</v>
      </c>
      <c r="IE26" t="e">
        <f>AND(Plants!P151,"AAAAAH/5/O4=")</f>
        <v>#VALUE!</v>
      </c>
      <c r="IF26" t="e">
        <f>AND(Plants!Q151,"AAAAAH/5/O8=")</f>
        <v>#VALUE!</v>
      </c>
      <c r="IG26">
        <f>IF(Plants!152:152,"AAAAAH/5/PA=",0)</f>
        <v>0</v>
      </c>
      <c r="IH26" t="e">
        <f>AND(Plants!A152,"AAAAAH/5/PE=")</f>
        <v>#VALUE!</v>
      </c>
      <c r="II26" t="e">
        <f>AND(Plants!B152,"AAAAAH/5/PI=")</f>
        <v>#VALUE!</v>
      </c>
      <c r="IJ26" t="e">
        <f>AND(Plants!C152,"AAAAAH/5/PM=")</f>
        <v>#VALUE!</v>
      </c>
      <c r="IK26" t="e">
        <f>AND(Plants!D152,"AAAAAH/5/PQ=")</f>
        <v>#VALUE!</v>
      </c>
      <c r="IL26" t="e">
        <f>AND(Plants!E152,"AAAAAH/5/PU=")</f>
        <v>#VALUE!</v>
      </c>
      <c r="IM26" t="e">
        <f>AND(Plants!F152,"AAAAAH/5/PY=")</f>
        <v>#VALUE!</v>
      </c>
      <c r="IN26" t="e">
        <f>AND(Plants!G152,"AAAAAH/5/Pc=")</f>
        <v>#VALUE!</v>
      </c>
      <c r="IO26" t="e">
        <f>AND(Plants!H152,"AAAAAH/5/Pg=")</f>
        <v>#VALUE!</v>
      </c>
      <c r="IP26" t="e">
        <f>AND(Plants!I152,"AAAAAH/5/Pk=")</f>
        <v>#VALUE!</v>
      </c>
      <c r="IQ26" t="e">
        <f>AND(Plants!J152,"AAAAAH/5/Po=")</f>
        <v>#VALUE!</v>
      </c>
      <c r="IR26" t="e">
        <f>AND(Plants!K152,"AAAAAH/5/Ps=")</f>
        <v>#VALUE!</v>
      </c>
      <c r="IS26" t="e">
        <f>AND(Plants!L152,"AAAAAH/5/Pw=")</f>
        <v>#VALUE!</v>
      </c>
      <c r="IT26" t="e">
        <f>AND(Plants!M152,"AAAAAH/5/P0=")</f>
        <v>#VALUE!</v>
      </c>
      <c r="IU26" t="e">
        <f>AND(Plants!N152,"AAAAAH/5/P4=")</f>
        <v>#VALUE!</v>
      </c>
      <c r="IV26" t="e">
        <f>AND(Plants!O152,"AAAAAH/5/P8=")</f>
        <v>#VALUE!</v>
      </c>
    </row>
    <row r="27" spans="1:256">
      <c r="A27" t="e">
        <f>AND(Plants!P152,"AAAAAH7fvwA=")</f>
        <v>#VALUE!</v>
      </c>
      <c r="B27" t="e">
        <f>AND(Plants!Q152,"AAAAAH7fvwE=")</f>
        <v>#VALUE!</v>
      </c>
      <c r="C27" t="e">
        <f>IF(Plants!153:153,"AAAAAH7fvwI=",0)</f>
        <v>#VALUE!</v>
      </c>
      <c r="D27" t="e">
        <f>AND(Plants!A153,"AAAAAH7fvwM=")</f>
        <v>#VALUE!</v>
      </c>
      <c r="E27" t="e">
        <f>AND(Plants!B153,"AAAAAH7fvwQ=")</f>
        <v>#VALUE!</v>
      </c>
      <c r="F27" t="e">
        <f>AND(Plants!C153,"AAAAAH7fvwU=")</f>
        <v>#VALUE!</v>
      </c>
      <c r="G27" t="e">
        <f>AND(Plants!D153,"AAAAAH7fvwY=")</f>
        <v>#VALUE!</v>
      </c>
      <c r="H27" t="e">
        <f>AND(Plants!E153,"AAAAAH7fvwc=")</f>
        <v>#VALUE!</v>
      </c>
      <c r="I27" t="e">
        <f>AND(Plants!F153,"AAAAAH7fvwg=")</f>
        <v>#VALUE!</v>
      </c>
      <c r="J27" t="e">
        <f>AND(Plants!G153,"AAAAAH7fvwk=")</f>
        <v>#VALUE!</v>
      </c>
      <c r="K27" t="e">
        <f>AND(Plants!H153,"AAAAAH7fvwo=")</f>
        <v>#VALUE!</v>
      </c>
      <c r="L27" t="e">
        <f>AND(Plants!I153,"AAAAAH7fvws=")</f>
        <v>#VALUE!</v>
      </c>
      <c r="M27" t="e">
        <f>AND(Plants!J153,"AAAAAH7fvww=")</f>
        <v>#VALUE!</v>
      </c>
      <c r="N27" t="e">
        <f>AND(Plants!K153,"AAAAAH7fvw0=")</f>
        <v>#VALUE!</v>
      </c>
      <c r="O27" t="e">
        <f>AND(Plants!L153,"AAAAAH7fvw4=")</f>
        <v>#VALUE!</v>
      </c>
      <c r="P27" t="e">
        <f>AND(Plants!M153,"AAAAAH7fvw8=")</f>
        <v>#VALUE!</v>
      </c>
      <c r="Q27" t="e">
        <f>AND(Plants!N153,"AAAAAH7fvxA=")</f>
        <v>#VALUE!</v>
      </c>
      <c r="R27" t="e">
        <f>AND(Plants!O153,"AAAAAH7fvxE=")</f>
        <v>#VALUE!</v>
      </c>
      <c r="S27" t="e">
        <f>AND(Plants!P153,"AAAAAH7fvxI=")</f>
        <v>#VALUE!</v>
      </c>
      <c r="T27" t="e">
        <f>AND(Plants!Q153,"AAAAAH7fvxM=")</f>
        <v>#VALUE!</v>
      </c>
      <c r="U27">
        <f>IF(Plants!154:154,"AAAAAH7fvxQ=",0)</f>
        <v>0</v>
      </c>
      <c r="V27" t="e">
        <f>AND(Plants!A154,"AAAAAH7fvxU=")</f>
        <v>#VALUE!</v>
      </c>
      <c r="W27" t="e">
        <f>AND(Plants!B154,"AAAAAH7fvxY=")</f>
        <v>#VALUE!</v>
      </c>
      <c r="X27" t="e">
        <f>AND(Plants!C154,"AAAAAH7fvxc=")</f>
        <v>#VALUE!</v>
      </c>
      <c r="Y27" t="e">
        <f>AND(Plants!D154,"AAAAAH7fvxg=")</f>
        <v>#VALUE!</v>
      </c>
      <c r="Z27" t="e">
        <f>AND(Plants!E154,"AAAAAH7fvxk=")</f>
        <v>#VALUE!</v>
      </c>
      <c r="AA27" t="e">
        <f>AND(Plants!F154,"AAAAAH7fvxo=")</f>
        <v>#VALUE!</v>
      </c>
      <c r="AB27" t="e">
        <f>AND(Plants!G154,"AAAAAH7fvxs=")</f>
        <v>#VALUE!</v>
      </c>
      <c r="AC27" t="e">
        <f>AND(Plants!H154,"AAAAAH7fvxw=")</f>
        <v>#VALUE!</v>
      </c>
      <c r="AD27" t="e">
        <f>AND(Plants!I154,"AAAAAH7fvx0=")</f>
        <v>#VALUE!</v>
      </c>
      <c r="AE27" t="e">
        <f>AND(Plants!J154,"AAAAAH7fvx4=")</f>
        <v>#VALUE!</v>
      </c>
      <c r="AF27" t="e">
        <f>AND(Plants!K154,"AAAAAH7fvx8=")</f>
        <v>#VALUE!</v>
      </c>
      <c r="AG27" t="e">
        <f>AND(Plants!L154,"AAAAAH7fvyA=")</f>
        <v>#VALUE!</v>
      </c>
      <c r="AH27" t="e">
        <f>AND(Plants!M154,"AAAAAH7fvyE=")</f>
        <v>#VALUE!</v>
      </c>
      <c r="AI27" t="e">
        <f>AND(Plants!N154,"AAAAAH7fvyI=")</f>
        <v>#VALUE!</v>
      </c>
      <c r="AJ27" t="e">
        <f>AND(Plants!O154,"AAAAAH7fvyM=")</f>
        <v>#VALUE!</v>
      </c>
      <c r="AK27" t="e">
        <f>AND(Plants!P154,"AAAAAH7fvyQ=")</f>
        <v>#VALUE!</v>
      </c>
      <c r="AL27" t="e">
        <f>AND(Plants!Q154,"AAAAAH7fvyU=")</f>
        <v>#VALUE!</v>
      </c>
      <c r="AM27">
        <f>IF(Plants!155:155,"AAAAAH7fvyY=",0)</f>
        <v>0</v>
      </c>
      <c r="AN27" t="e">
        <f>AND(Plants!A155,"AAAAAH7fvyc=")</f>
        <v>#VALUE!</v>
      </c>
      <c r="AO27" t="e">
        <f>AND(Plants!B155,"AAAAAH7fvyg=")</f>
        <v>#VALUE!</v>
      </c>
      <c r="AP27" t="e">
        <f>AND(Plants!C155,"AAAAAH7fvyk=")</f>
        <v>#VALUE!</v>
      </c>
      <c r="AQ27" t="e">
        <f>AND(Plants!D155,"AAAAAH7fvyo=")</f>
        <v>#VALUE!</v>
      </c>
      <c r="AR27" t="e">
        <f>AND(Plants!E155,"AAAAAH7fvys=")</f>
        <v>#VALUE!</v>
      </c>
      <c r="AS27" t="e">
        <f>AND(Plants!F155,"AAAAAH7fvyw=")</f>
        <v>#VALUE!</v>
      </c>
      <c r="AT27" t="e">
        <f>AND(Plants!G155,"AAAAAH7fvy0=")</f>
        <v>#VALUE!</v>
      </c>
      <c r="AU27" t="e">
        <f>AND(Plants!H155,"AAAAAH7fvy4=")</f>
        <v>#VALUE!</v>
      </c>
      <c r="AV27" t="e">
        <f>AND(Plants!I155,"AAAAAH7fvy8=")</f>
        <v>#VALUE!</v>
      </c>
      <c r="AW27" t="e">
        <f>AND(Plants!J155,"AAAAAH7fvzA=")</f>
        <v>#VALUE!</v>
      </c>
      <c r="AX27" t="e">
        <f>AND(Plants!K155,"AAAAAH7fvzE=")</f>
        <v>#VALUE!</v>
      </c>
      <c r="AY27" t="e">
        <f>AND(Plants!L155,"AAAAAH7fvzI=")</f>
        <v>#VALUE!</v>
      </c>
      <c r="AZ27" t="e">
        <f>AND(Plants!M155,"AAAAAH7fvzM=")</f>
        <v>#VALUE!</v>
      </c>
      <c r="BA27" t="e">
        <f>AND(Plants!N155,"AAAAAH7fvzQ=")</f>
        <v>#VALUE!</v>
      </c>
      <c r="BB27" t="e">
        <f>AND(Plants!O155,"AAAAAH7fvzU=")</f>
        <v>#VALUE!</v>
      </c>
      <c r="BC27" t="e">
        <f>AND(Plants!P155,"AAAAAH7fvzY=")</f>
        <v>#VALUE!</v>
      </c>
      <c r="BD27" t="e">
        <f>AND(Plants!Q155,"AAAAAH7fvzc=")</f>
        <v>#VALUE!</v>
      </c>
      <c r="BE27">
        <f>IF(Plants!156:156,"AAAAAH7fvzg=",0)</f>
        <v>0</v>
      </c>
      <c r="BF27" t="e">
        <f>AND(Plants!A156,"AAAAAH7fvzk=")</f>
        <v>#VALUE!</v>
      </c>
      <c r="BG27" t="e">
        <f>AND(Plants!B156,"AAAAAH7fvzo=")</f>
        <v>#VALUE!</v>
      </c>
      <c r="BH27" t="e">
        <f>AND(Plants!C156,"AAAAAH7fvzs=")</f>
        <v>#VALUE!</v>
      </c>
      <c r="BI27" t="e">
        <f>AND(Plants!D156,"AAAAAH7fvzw=")</f>
        <v>#VALUE!</v>
      </c>
      <c r="BJ27" t="e">
        <f>AND(Plants!E156,"AAAAAH7fvz0=")</f>
        <v>#VALUE!</v>
      </c>
      <c r="BK27" t="e">
        <f>AND(Plants!F156,"AAAAAH7fvz4=")</f>
        <v>#VALUE!</v>
      </c>
      <c r="BL27" t="e">
        <f>AND(Plants!G156,"AAAAAH7fvz8=")</f>
        <v>#VALUE!</v>
      </c>
      <c r="BM27" t="e">
        <f>AND(Plants!H156,"AAAAAH7fv0A=")</f>
        <v>#VALUE!</v>
      </c>
      <c r="BN27" t="e">
        <f>AND(Plants!I156,"AAAAAH7fv0E=")</f>
        <v>#VALUE!</v>
      </c>
      <c r="BO27" t="e">
        <f>AND(Plants!J156,"AAAAAH7fv0I=")</f>
        <v>#VALUE!</v>
      </c>
      <c r="BP27" t="e">
        <f>AND(Plants!K156,"AAAAAH7fv0M=")</f>
        <v>#VALUE!</v>
      </c>
      <c r="BQ27" t="e">
        <f>AND(Plants!L156,"AAAAAH7fv0Q=")</f>
        <v>#VALUE!</v>
      </c>
      <c r="BR27" t="e">
        <f>AND(Plants!M156,"AAAAAH7fv0U=")</f>
        <v>#VALUE!</v>
      </c>
      <c r="BS27" t="e">
        <f>AND(Plants!N156,"AAAAAH7fv0Y=")</f>
        <v>#VALUE!</v>
      </c>
      <c r="BT27" t="e">
        <f>AND(Plants!O156,"AAAAAH7fv0c=")</f>
        <v>#VALUE!</v>
      </c>
      <c r="BU27" t="e">
        <f>AND(Plants!P156,"AAAAAH7fv0g=")</f>
        <v>#VALUE!</v>
      </c>
      <c r="BV27" t="e">
        <f>AND(Plants!Q156,"AAAAAH7fv0k=")</f>
        <v>#VALUE!</v>
      </c>
      <c r="BW27">
        <f>IF(Plants!157:157,"AAAAAH7fv0o=",0)</f>
        <v>0</v>
      </c>
      <c r="BX27" t="e">
        <f>AND(Plants!A157,"AAAAAH7fv0s=")</f>
        <v>#VALUE!</v>
      </c>
      <c r="BY27" t="e">
        <f>AND(Plants!B157,"AAAAAH7fv0w=")</f>
        <v>#VALUE!</v>
      </c>
      <c r="BZ27" t="e">
        <f>AND(Plants!C157,"AAAAAH7fv00=")</f>
        <v>#VALUE!</v>
      </c>
      <c r="CA27" t="e">
        <f>AND(Plants!D157,"AAAAAH7fv04=")</f>
        <v>#VALUE!</v>
      </c>
      <c r="CB27" t="e">
        <f>AND(Plants!E157,"AAAAAH7fv08=")</f>
        <v>#VALUE!</v>
      </c>
      <c r="CC27" t="e">
        <f>AND(Plants!F157,"AAAAAH7fv1A=")</f>
        <v>#VALUE!</v>
      </c>
      <c r="CD27" t="e">
        <f>AND(Plants!G157,"AAAAAH7fv1E=")</f>
        <v>#VALUE!</v>
      </c>
      <c r="CE27" t="e">
        <f>AND(Plants!H157,"AAAAAH7fv1I=")</f>
        <v>#VALUE!</v>
      </c>
      <c r="CF27" t="e">
        <f>AND(Plants!I157,"AAAAAH7fv1M=")</f>
        <v>#VALUE!</v>
      </c>
      <c r="CG27" t="e">
        <f>AND(Plants!J157,"AAAAAH7fv1Q=")</f>
        <v>#VALUE!</v>
      </c>
      <c r="CH27" t="e">
        <f>AND(Plants!K157,"AAAAAH7fv1U=")</f>
        <v>#VALUE!</v>
      </c>
      <c r="CI27" t="e">
        <f>AND(Plants!L157,"AAAAAH7fv1Y=")</f>
        <v>#VALUE!</v>
      </c>
      <c r="CJ27" t="e">
        <f>AND(Plants!M157,"AAAAAH7fv1c=")</f>
        <v>#VALUE!</v>
      </c>
      <c r="CK27" t="e">
        <f>AND(Plants!N157,"AAAAAH7fv1g=")</f>
        <v>#VALUE!</v>
      </c>
      <c r="CL27" t="e">
        <f>AND(Plants!O157,"AAAAAH7fv1k=")</f>
        <v>#VALUE!</v>
      </c>
      <c r="CM27" t="e">
        <f>AND(Plants!P157,"AAAAAH7fv1o=")</f>
        <v>#VALUE!</v>
      </c>
      <c r="CN27" t="e">
        <f>AND(Plants!Q157,"AAAAAH7fv1s=")</f>
        <v>#VALUE!</v>
      </c>
      <c r="CO27">
        <f>IF(Plants!158:158,"AAAAAH7fv1w=",0)</f>
        <v>0</v>
      </c>
      <c r="CP27" t="e">
        <f>AND(Plants!A158,"AAAAAH7fv10=")</f>
        <v>#VALUE!</v>
      </c>
      <c r="CQ27" t="e">
        <f>AND(Plants!B158,"AAAAAH7fv14=")</f>
        <v>#VALUE!</v>
      </c>
      <c r="CR27" t="e">
        <f>AND(Plants!C158,"AAAAAH7fv18=")</f>
        <v>#VALUE!</v>
      </c>
      <c r="CS27" t="e">
        <f>AND(Plants!D158,"AAAAAH7fv2A=")</f>
        <v>#VALUE!</v>
      </c>
      <c r="CT27" t="e">
        <f>AND(Plants!E158,"AAAAAH7fv2E=")</f>
        <v>#VALUE!</v>
      </c>
      <c r="CU27" t="e">
        <f>AND(Plants!F158,"AAAAAH7fv2I=")</f>
        <v>#VALUE!</v>
      </c>
      <c r="CV27" t="e">
        <f>AND(Plants!G158,"AAAAAH7fv2M=")</f>
        <v>#VALUE!</v>
      </c>
      <c r="CW27" t="e">
        <f>AND(Plants!H158,"AAAAAH7fv2Q=")</f>
        <v>#VALUE!</v>
      </c>
      <c r="CX27" t="e">
        <f>AND(Plants!I158,"AAAAAH7fv2U=")</f>
        <v>#VALUE!</v>
      </c>
      <c r="CY27" t="e">
        <f>AND(Plants!J158,"AAAAAH7fv2Y=")</f>
        <v>#VALUE!</v>
      </c>
      <c r="CZ27" t="e">
        <f>AND(Plants!K158,"AAAAAH7fv2c=")</f>
        <v>#VALUE!</v>
      </c>
      <c r="DA27" t="e">
        <f>AND(Plants!L158,"AAAAAH7fv2g=")</f>
        <v>#VALUE!</v>
      </c>
      <c r="DB27" t="e">
        <f>AND(Plants!M158,"AAAAAH7fv2k=")</f>
        <v>#VALUE!</v>
      </c>
      <c r="DC27" t="e">
        <f>AND(Plants!N158,"AAAAAH7fv2o=")</f>
        <v>#VALUE!</v>
      </c>
      <c r="DD27" t="e">
        <f>AND(Plants!O158,"AAAAAH7fv2s=")</f>
        <v>#VALUE!</v>
      </c>
      <c r="DE27" t="e">
        <f>AND(Plants!P158,"AAAAAH7fv2w=")</f>
        <v>#VALUE!</v>
      </c>
      <c r="DF27" t="e">
        <f>AND(Plants!Q158,"AAAAAH7fv20=")</f>
        <v>#VALUE!</v>
      </c>
      <c r="DG27">
        <f>IF(Plants!159:159,"AAAAAH7fv24=",0)</f>
        <v>0</v>
      </c>
      <c r="DH27" t="e">
        <f>AND(Plants!A159,"AAAAAH7fv28=")</f>
        <v>#VALUE!</v>
      </c>
      <c r="DI27" t="e">
        <f>AND(Plants!B159,"AAAAAH7fv3A=")</f>
        <v>#VALUE!</v>
      </c>
      <c r="DJ27" t="e">
        <f>AND(Plants!C159,"AAAAAH7fv3E=")</f>
        <v>#VALUE!</v>
      </c>
      <c r="DK27" t="e">
        <f>AND(Plants!D159,"AAAAAH7fv3I=")</f>
        <v>#VALUE!</v>
      </c>
      <c r="DL27" t="e">
        <f>AND(Plants!E159,"AAAAAH7fv3M=")</f>
        <v>#VALUE!</v>
      </c>
      <c r="DM27" t="e">
        <f>AND(Plants!F159,"AAAAAH7fv3Q=")</f>
        <v>#VALUE!</v>
      </c>
      <c r="DN27" t="e">
        <f>AND(Plants!G159,"AAAAAH7fv3U=")</f>
        <v>#VALUE!</v>
      </c>
      <c r="DO27" t="e">
        <f>AND(Plants!H159,"AAAAAH7fv3Y=")</f>
        <v>#VALUE!</v>
      </c>
      <c r="DP27" t="e">
        <f>AND(Plants!I159,"AAAAAH7fv3c=")</f>
        <v>#VALUE!</v>
      </c>
      <c r="DQ27" t="e">
        <f>AND(Plants!J159,"AAAAAH7fv3g=")</f>
        <v>#VALUE!</v>
      </c>
      <c r="DR27" t="e">
        <f>AND(Plants!K159,"AAAAAH7fv3k=")</f>
        <v>#VALUE!</v>
      </c>
      <c r="DS27" t="e">
        <f>AND(Plants!L159,"AAAAAH7fv3o=")</f>
        <v>#VALUE!</v>
      </c>
      <c r="DT27" t="e">
        <f>AND(Plants!M159,"AAAAAH7fv3s=")</f>
        <v>#VALUE!</v>
      </c>
      <c r="DU27" t="e">
        <f>AND(Plants!N159,"AAAAAH7fv3w=")</f>
        <v>#VALUE!</v>
      </c>
      <c r="DV27" t="e">
        <f>AND(Plants!O159,"AAAAAH7fv30=")</f>
        <v>#VALUE!</v>
      </c>
      <c r="DW27" t="e">
        <f>AND(Plants!P159,"AAAAAH7fv34=")</f>
        <v>#VALUE!</v>
      </c>
      <c r="DX27" t="e">
        <f>AND(Plants!Q159,"AAAAAH7fv38=")</f>
        <v>#VALUE!</v>
      </c>
      <c r="DY27">
        <f>IF(Plants!160:160,"AAAAAH7fv4A=",0)</f>
        <v>0</v>
      </c>
      <c r="DZ27" t="e">
        <f>AND(Plants!A160,"AAAAAH7fv4E=")</f>
        <v>#VALUE!</v>
      </c>
      <c r="EA27" t="e">
        <f>AND(Plants!B160,"AAAAAH7fv4I=")</f>
        <v>#VALUE!</v>
      </c>
      <c r="EB27" t="e">
        <f>AND(Plants!C160,"AAAAAH7fv4M=")</f>
        <v>#VALUE!</v>
      </c>
      <c r="EC27" t="e">
        <f>AND(Plants!D160,"AAAAAH7fv4Q=")</f>
        <v>#VALUE!</v>
      </c>
      <c r="ED27" t="e">
        <f>AND(Plants!E160,"AAAAAH7fv4U=")</f>
        <v>#VALUE!</v>
      </c>
      <c r="EE27" t="e">
        <f>AND(Plants!F160,"AAAAAH7fv4Y=")</f>
        <v>#VALUE!</v>
      </c>
      <c r="EF27" t="e">
        <f>AND(Plants!G160,"AAAAAH7fv4c=")</f>
        <v>#VALUE!</v>
      </c>
      <c r="EG27" t="e">
        <f>AND(Plants!H160,"AAAAAH7fv4g=")</f>
        <v>#VALUE!</v>
      </c>
      <c r="EH27" t="e">
        <f>AND(Plants!I160,"AAAAAH7fv4k=")</f>
        <v>#VALUE!</v>
      </c>
      <c r="EI27" t="e">
        <f>AND(Plants!J160,"AAAAAH7fv4o=")</f>
        <v>#VALUE!</v>
      </c>
      <c r="EJ27" t="e">
        <f>AND(Plants!K160,"AAAAAH7fv4s=")</f>
        <v>#VALUE!</v>
      </c>
      <c r="EK27" t="e">
        <f>AND(Plants!L160,"AAAAAH7fv4w=")</f>
        <v>#VALUE!</v>
      </c>
      <c r="EL27" t="e">
        <f>AND(Plants!M160,"AAAAAH7fv40=")</f>
        <v>#VALUE!</v>
      </c>
      <c r="EM27" t="e">
        <f>AND(Plants!N160,"AAAAAH7fv44=")</f>
        <v>#VALUE!</v>
      </c>
      <c r="EN27" t="e">
        <f>AND(Plants!O160,"AAAAAH7fv48=")</f>
        <v>#VALUE!</v>
      </c>
      <c r="EO27" t="e">
        <f>AND(Plants!P160,"AAAAAH7fv5A=")</f>
        <v>#VALUE!</v>
      </c>
      <c r="EP27" t="e">
        <f>AND(Plants!Q160,"AAAAAH7fv5E=")</f>
        <v>#VALUE!</v>
      </c>
      <c r="EQ27">
        <f>IF(Plants!161:161,"AAAAAH7fv5I=",0)</f>
        <v>0</v>
      </c>
      <c r="ER27" t="e">
        <f>AND(Plants!A161,"AAAAAH7fv5M=")</f>
        <v>#VALUE!</v>
      </c>
      <c r="ES27" t="e">
        <f>AND(Plants!B161,"AAAAAH7fv5Q=")</f>
        <v>#VALUE!</v>
      </c>
      <c r="ET27" t="e">
        <f>AND(Plants!C161,"AAAAAH7fv5U=")</f>
        <v>#VALUE!</v>
      </c>
      <c r="EU27" t="e">
        <f>AND(Plants!D161,"AAAAAH7fv5Y=")</f>
        <v>#VALUE!</v>
      </c>
      <c r="EV27" t="e">
        <f>AND(Plants!E161,"AAAAAH7fv5c=")</f>
        <v>#VALUE!</v>
      </c>
      <c r="EW27" t="e">
        <f>AND(Plants!F161,"AAAAAH7fv5g=")</f>
        <v>#VALUE!</v>
      </c>
      <c r="EX27" t="e">
        <f>AND(Plants!G161,"AAAAAH7fv5k=")</f>
        <v>#VALUE!</v>
      </c>
      <c r="EY27" t="e">
        <f>AND(Plants!H161,"AAAAAH7fv5o=")</f>
        <v>#VALUE!</v>
      </c>
      <c r="EZ27" t="e">
        <f>AND(Plants!I161,"AAAAAH7fv5s=")</f>
        <v>#VALUE!</v>
      </c>
      <c r="FA27" t="e">
        <f>AND(Plants!J161,"AAAAAH7fv5w=")</f>
        <v>#VALUE!</v>
      </c>
      <c r="FB27" t="e">
        <f>AND(Plants!K161,"AAAAAH7fv50=")</f>
        <v>#VALUE!</v>
      </c>
      <c r="FC27" t="e">
        <f>AND(Plants!L161,"AAAAAH7fv54=")</f>
        <v>#VALUE!</v>
      </c>
      <c r="FD27" t="e">
        <f>AND(Plants!M161,"AAAAAH7fv58=")</f>
        <v>#VALUE!</v>
      </c>
      <c r="FE27" t="e">
        <f>AND(Plants!N161,"AAAAAH7fv6A=")</f>
        <v>#VALUE!</v>
      </c>
      <c r="FF27" t="e">
        <f>AND(Plants!O161,"AAAAAH7fv6E=")</f>
        <v>#VALUE!</v>
      </c>
      <c r="FG27" t="e">
        <f>AND(Plants!P161,"AAAAAH7fv6I=")</f>
        <v>#VALUE!</v>
      </c>
      <c r="FH27" t="e">
        <f>AND(Plants!Q161,"AAAAAH7fv6M=")</f>
        <v>#VALUE!</v>
      </c>
      <c r="FI27">
        <f>IF(Plants!162:162,"AAAAAH7fv6Q=",0)</f>
        <v>0</v>
      </c>
      <c r="FJ27" t="e">
        <f>AND(Plants!A162,"AAAAAH7fv6U=")</f>
        <v>#VALUE!</v>
      </c>
      <c r="FK27" t="e">
        <f>AND(Plants!B162,"AAAAAH7fv6Y=")</f>
        <v>#VALUE!</v>
      </c>
      <c r="FL27" t="e">
        <f>AND(Plants!C162,"AAAAAH7fv6c=")</f>
        <v>#VALUE!</v>
      </c>
      <c r="FM27" t="e">
        <f>AND(Plants!D162,"AAAAAH7fv6g=")</f>
        <v>#VALUE!</v>
      </c>
      <c r="FN27" t="e">
        <f>AND(Plants!E162,"AAAAAH7fv6k=")</f>
        <v>#VALUE!</v>
      </c>
      <c r="FO27" t="e">
        <f>AND(Plants!F162,"AAAAAH7fv6o=")</f>
        <v>#VALUE!</v>
      </c>
      <c r="FP27" t="e">
        <f>AND(Plants!G162,"AAAAAH7fv6s=")</f>
        <v>#VALUE!</v>
      </c>
      <c r="FQ27" t="e">
        <f>AND(Plants!H162,"AAAAAH7fv6w=")</f>
        <v>#VALUE!</v>
      </c>
      <c r="FR27" t="e">
        <f>AND(Plants!I162,"AAAAAH7fv60=")</f>
        <v>#VALUE!</v>
      </c>
      <c r="FS27" t="e">
        <f>AND(Plants!J162,"AAAAAH7fv64=")</f>
        <v>#VALUE!</v>
      </c>
      <c r="FT27" t="e">
        <f>AND(Plants!K162,"AAAAAH7fv68=")</f>
        <v>#VALUE!</v>
      </c>
      <c r="FU27" t="e">
        <f>AND(Plants!L162,"AAAAAH7fv7A=")</f>
        <v>#VALUE!</v>
      </c>
      <c r="FV27" t="e">
        <f>AND(Plants!M162,"AAAAAH7fv7E=")</f>
        <v>#VALUE!</v>
      </c>
      <c r="FW27" t="e">
        <f>AND(Plants!N162,"AAAAAH7fv7I=")</f>
        <v>#VALUE!</v>
      </c>
      <c r="FX27" t="e">
        <f>AND(Plants!O162,"AAAAAH7fv7M=")</f>
        <v>#VALUE!</v>
      </c>
      <c r="FY27" t="e">
        <f>AND(Plants!P162,"AAAAAH7fv7Q=")</f>
        <v>#VALUE!</v>
      </c>
      <c r="FZ27" t="e">
        <f>AND(Plants!Q162,"AAAAAH7fv7U=")</f>
        <v>#VALUE!</v>
      </c>
      <c r="GA27">
        <f>IF(Plants!163:163,"AAAAAH7fv7Y=",0)</f>
        <v>0</v>
      </c>
      <c r="GB27" t="e">
        <f>AND(Plants!A163,"AAAAAH7fv7c=")</f>
        <v>#VALUE!</v>
      </c>
      <c r="GC27" t="e">
        <f>AND(Plants!B163,"AAAAAH7fv7g=")</f>
        <v>#VALUE!</v>
      </c>
      <c r="GD27" t="e">
        <f>AND(Plants!C163,"AAAAAH7fv7k=")</f>
        <v>#VALUE!</v>
      </c>
      <c r="GE27" t="e">
        <f>AND(Plants!D163,"AAAAAH7fv7o=")</f>
        <v>#VALUE!</v>
      </c>
      <c r="GF27" t="e">
        <f>AND(Plants!E163,"AAAAAH7fv7s=")</f>
        <v>#VALUE!</v>
      </c>
      <c r="GG27" t="e">
        <f>AND(Plants!F163,"AAAAAH7fv7w=")</f>
        <v>#VALUE!</v>
      </c>
      <c r="GH27" t="e">
        <f>AND(Plants!G163,"AAAAAH7fv70=")</f>
        <v>#VALUE!</v>
      </c>
      <c r="GI27" t="e">
        <f>AND(Plants!H163,"AAAAAH7fv74=")</f>
        <v>#VALUE!</v>
      </c>
      <c r="GJ27" t="e">
        <f>AND(Plants!I163,"AAAAAH7fv78=")</f>
        <v>#VALUE!</v>
      </c>
      <c r="GK27" t="e">
        <f>AND(Plants!J163,"AAAAAH7fv8A=")</f>
        <v>#VALUE!</v>
      </c>
      <c r="GL27" t="e">
        <f>AND(Plants!K163,"AAAAAH7fv8E=")</f>
        <v>#VALUE!</v>
      </c>
      <c r="GM27" t="e">
        <f>AND(Plants!L163,"AAAAAH7fv8I=")</f>
        <v>#VALUE!</v>
      </c>
      <c r="GN27" t="e">
        <f>AND(Plants!M163,"AAAAAH7fv8M=")</f>
        <v>#VALUE!</v>
      </c>
      <c r="GO27" t="e">
        <f>AND(Plants!N163,"AAAAAH7fv8Q=")</f>
        <v>#VALUE!</v>
      </c>
      <c r="GP27" t="e">
        <f>AND(Plants!O163,"AAAAAH7fv8U=")</f>
        <v>#VALUE!</v>
      </c>
      <c r="GQ27" t="e">
        <f>AND(Plants!P163,"AAAAAH7fv8Y=")</f>
        <v>#VALUE!</v>
      </c>
      <c r="GR27" t="e">
        <f>AND(Plants!Q163,"AAAAAH7fv8c=")</f>
        <v>#VALUE!</v>
      </c>
      <c r="GS27">
        <f>IF(Plants!164:164,"AAAAAH7fv8g=",0)</f>
        <v>0</v>
      </c>
      <c r="GT27" t="e">
        <f>AND(Plants!A164,"AAAAAH7fv8k=")</f>
        <v>#VALUE!</v>
      </c>
      <c r="GU27" t="e">
        <f>AND(Plants!B164,"AAAAAH7fv8o=")</f>
        <v>#VALUE!</v>
      </c>
      <c r="GV27" t="e">
        <f>AND(Plants!C164,"AAAAAH7fv8s=")</f>
        <v>#VALUE!</v>
      </c>
      <c r="GW27" t="e">
        <f>AND(Plants!D164,"AAAAAH7fv8w=")</f>
        <v>#VALUE!</v>
      </c>
      <c r="GX27" t="e">
        <f>AND(Plants!E164,"AAAAAH7fv80=")</f>
        <v>#VALUE!</v>
      </c>
      <c r="GY27" t="e">
        <f>AND(Plants!F164,"AAAAAH7fv84=")</f>
        <v>#VALUE!</v>
      </c>
      <c r="GZ27" t="e">
        <f>AND(Plants!G164,"AAAAAH7fv88=")</f>
        <v>#VALUE!</v>
      </c>
      <c r="HA27" t="e">
        <f>AND(Plants!H164,"AAAAAH7fv9A=")</f>
        <v>#VALUE!</v>
      </c>
      <c r="HB27" t="e">
        <f>AND(Plants!I164,"AAAAAH7fv9E=")</f>
        <v>#VALUE!</v>
      </c>
      <c r="HC27" t="e">
        <f>AND(Plants!J164,"AAAAAH7fv9I=")</f>
        <v>#VALUE!</v>
      </c>
      <c r="HD27" t="e">
        <f>AND(Plants!K164,"AAAAAH7fv9M=")</f>
        <v>#VALUE!</v>
      </c>
      <c r="HE27" t="e">
        <f>AND(Plants!L164,"AAAAAH7fv9Q=")</f>
        <v>#VALUE!</v>
      </c>
      <c r="HF27" t="e">
        <f>AND(Plants!M164,"AAAAAH7fv9U=")</f>
        <v>#VALUE!</v>
      </c>
      <c r="HG27" t="e">
        <f>AND(Plants!N164,"AAAAAH7fv9Y=")</f>
        <v>#VALUE!</v>
      </c>
      <c r="HH27" t="e">
        <f>AND(Plants!O164,"AAAAAH7fv9c=")</f>
        <v>#VALUE!</v>
      </c>
      <c r="HI27" t="e">
        <f>AND(Plants!P164,"AAAAAH7fv9g=")</f>
        <v>#VALUE!</v>
      </c>
      <c r="HJ27" t="e">
        <f>AND(Plants!Q164,"AAAAAH7fv9k=")</f>
        <v>#VALUE!</v>
      </c>
      <c r="HK27">
        <f>IF(Plants!165:165,"AAAAAH7fv9o=",0)</f>
        <v>0</v>
      </c>
      <c r="HL27" t="e">
        <f>AND(Plants!A165,"AAAAAH7fv9s=")</f>
        <v>#VALUE!</v>
      </c>
      <c r="HM27" t="e">
        <f>AND(Plants!B165,"AAAAAH7fv9w=")</f>
        <v>#VALUE!</v>
      </c>
      <c r="HN27" t="e">
        <f>AND(Plants!C165,"AAAAAH7fv90=")</f>
        <v>#VALUE!</v>
      </c>
      <c r="HO27" t="e">
        <f>AND(Plants!D165,"AAAAAH7fv94=")</f>
        <v>#VALUE!</v>
      </c>
      <c r="HP27" t="e">
        <f>AND(Plants!E165,"AAAAAH7fv98=")</f>
        <v>#VALUE!</v>
      </c>
      <c r="HQ27" t="e">
        <f>AND(Plants!F165,"AAAAAH7fv+A=")</f>
        <v>#VALUE!</v>
      </c>
      <c r="HR27" t="e">
        <f>AND(Plants!G165,"AAAAAH7fv+E=")</f>
        <v>#VALUE!</v>
      </c>
      <c r="HS27" t="e">
        <f>AND(Plants!H165,"AAAAAH7fv+I=")</f>
        <v>#VALUE!</v>
      </c>
      <c r="HT27" t="e">
        <f>AND(Plants!I165,"AAAAAH7fv+M=")</f>
        <v>#VALUE!</v>
      </c>
      <c r="HU27" t="e">
        <f>AND(Plants!J165,"AAAAAH7fv+Q=")</f>
        <v>#VALUE!</v>
      </c>
      <c r="HV27" t="e">
        <f>AND(Plants!K165,"AAAAAH7fv+U=")</f>
        <v>#VALUE!</v>
      </c>
      <c r="HW27" t="e">
        <f>AND(Plants!L165,"AAAAAH7fv+Y=")</f>
        <v>#VALUE!</v>
      </c>
      <c r="HX27" t="e">
        <f>AND(Plants!M165,"AAAAAH7fv+c=")</f>
        <v>#VALUE!</v>
      </c>
      <c r="HY27" t="e">
        <f>AND(Plants!N165,"AAAAAH7fv+g=")</f>
        <v>#VALUE!</v>
      </c>
      <c r="HZ27" t="e">
        <f>AND(Plants!O165,"AAAAAH7fv+k=")</f>
        <v>#VALUE!</v>
      </c>
      <c r="IA27" t="e">
        <f>AND(Plants!P165,"AAAAAH7fv+o=")</f>
        <v>#VALUE!</v>
      </c>
      <c r="IB27" t="e">
        <f>AND(Plants!Q165,"AAAAAH7fv+s=")</f>
        <v>#VALUE!</v>
      </c>
      <c r="IC27">
        <f>IF(Plants!166:166,"AAAAAH7fv+w=",0)</f>
        <v>0</v>
      </c>
      <c r="ID27" t="e">
        <f>AND(Plants!A166,"AAAAAH7fv+0=")</f>
        <v>#VALUE!</v>
      </c>
      <c r="IE27" t="e">
        <f>AND(Plants!B166,"AAAAAH7fv+4=")</f>
        <v>#VALUE!</v>
      </c>
      <c r="IF27" t="e">
        <f>AND(Plants!C166,"AAAAAH7fv+8=")</f>
        <v>#VALUE!</v>
      </c>
      <c r="IG27" t="e">
        <f>AND(Plants!D166,"AAAAAH7fv/A=")</f>
        <v>#VALUE!</v>
      </c>
      <c r="IH27" t="e">
        <f>AND(Plants!E166,"AAAAAH7fv/E=")</f>
        <v>#VALUE!</v>
      </c>
      <c r="II27" t="e">
        <f>AND(Plants!F166,"AAAAAH7fv/I=")</f>
        <v>#VALUE!</v>
      </c>
      <c r="IJ27" t="e">
        <f>AND(Plants!G166,"AAAAAH7fv/M=")</f>
        <v>#VALUE!</v>
      </c>
      <c r="IK27" t="e">
        <f>AND(Plants!H166,"AAAAAH7fv/Q=")</f>
        <v>#VALUE!</v>
      </c>
      <c r="IL27" t="e">
        <f>AND(Plants!I166,"AAAAAH7fv/U=")</f>
        <v>#VALUE!</v>
      </c>
      <c r="IM27" t="e">
        <f>AND(Plants!J166,"AAAAAH7fv/Y=")</f>
        <v>#VALUE!</v>
      </c>
      <c r="IN27" t="e">
        <f>AND(Plants!K166,"AAAAAH7fv/c=")</f>
        <v>#VALUE!</v>
      </c>
      <c r="IO27" t="e">
        <f>AND(Plants!L166,"AAAAAH7fv/g=")</f>
        <v>#VALUE!</v>
      </c>
      <c r="IP27" t="e">
        <f>AND(Plants!M166,"AAAAAH7fv/k=")</f>
        <v>#VALUE!</v>
      </c>
      <c r="IQ27" t="e">
        <f>AND(Plants!N166,"AAAAAH7fv/o=")</f>
        <v>#VALUE!</v>
      </c>
      <c r="IR27" t="e">
        <f>AND(Plants!O166,"AAAAAH7fv/s=")</f>
        <v>#VALUE!</v>
      </c>
      <c r="IS27" t="e">
        <f>AND(Plants!P166,"AAAAAH7fv/w=")</f>
        <v>#VALUE!</v>
      </c>
      <c r="IT27" t="e">
        <f>AND(Plants!Q166,"AAAAAH7fv/0=")</f>
        <v>#VALUE!</v>
      </c>
      <c r="IU27">
        <f>IF(Plants!167:167,"AAAAAH7fv/4=",0)</f>
        <v>0</v>
      </c>
      <c r="IV27" t="e">
        <f>AND(Plants!A167,"AAAAAH7fv/8=")</f>
        <v>#VALUE!</v>
      </c>
    </row>
    <row r="28" spans="1:256">
      <c r="A28" t="e">
        <f>AND(Plants!B167,"AAAAAF+3TwA=")</f>
        <v>#VALUE!</v>
      </c>
      <c r="B28" t="e">
        <f>AND(Plants!C167,"AAAAAF+3TwE=")</f>
        <v>#VALUE!</v>
      </c>
      <c r="C28" t="e">
        <f>AND(Plants!D167,"AAAAAF+3TwI=")</f>
        <v>#VALUE!</v>
      </c>
      <c r="D28" t="e">
        <f>AND(Plants!E167,"AAAAAF+3TwM=")</f>
        <v>#VALUE!</v>
      </c>
      <c r="E28" t="e">
        <f>AND(Plants!F167,"AAAAAF+3TwQ=")</f>
        <v>#VALUE!</v>
      </c>
      <c r="F28" t="e">
        <f>AND(Plants!G167,"AAAAAF+3TwU=")</f>
        <v>#VALUE!</v>
      </c>
      <c r="G28" t="e">
        <f>AND(Plants!H167,"AAAAAF+3TwY=")</f>
        <v>#VALUE!</v>
      </c>
      <c r="H28" t="e">
        <f>AND(Plants!I167,"AAAAAF+3Twc=")</f>
        <v>#VALUE!</v>
      </c>
      <c r="I28" t="e">
        <f>AND(Plants!J167,"AAAAAF+3Twg=")</f>
        <v>#VALUE!</v>
      </c>
      <c r="J28" t="e">
        <f>AND(Plants!K167,"AAAAAF+3Twk=")</f>
        <v>#VALUE!</v>
      </c>
      <c r="K28" t="e">
        <f>AND(Plants!L167,"AAAAAF+3Two=")</f>
        <v>#VALUE!</v>
      </c>
      <c r="L28" t="e">
        <f>AND(Plants!M167,"AAAAAF+3Tws=")</f>
        <v>#VALUE!</v>
      </c>
      <c r="M28" t="e">
        <f>AND(Plants!N167,"AAAAAF+3Tww=")</f>
        <v>#VALUE!</v>
      </c>
      <c r="N28" t="e">
        <f>AND(Plants!O167,"AAAAAF+3Tw0=")</f>
        <v>#VALUE!</v>
      </c>
      <c r="O28" t="e">
        <f>AND(Plants!P167,"AAAAAF+3Tw4=")</f>
        <v>#VALUE!</v>
      </c>
      <c r="P28" t="e">
        <f>AND(Plants!Q167,"AAAAAF+3Tw8=")</f>
        <v>#VALUE!</v>
      </c>
      <c r="Q28">
        <f>IF(Plants!168:168,"AAAAAF+3TxA=",0)</f>
        <v>0</v>
      </c>
      <c r="R28" t="e">
        <f>AND(Plants!A168,"AAAAAF+3TxE=")</f>
        <v>#VALUE!</v>
      </c>
      <c r="S28" t="e">
        <f>AND(Plants!B168,"AAAAAF+3TxI=")</f>
        <v>#VALUE!</v>
      </c>
      <c r="T28" t="e">
        <f>AND(Plants!C168,"AAAAAF+3TxM=")</f>
        <v>#VALUE!</v>
      </c>
      <c r="U28" t="e">
        <f>AND(Plants!D168,"AAAAAF+3TxQ=")</f>
        <v>#VALUE!</v>
      </c>
      <c r="V28" t="e">
        <f>AND(Plants!E168,"AAAAAF+3TxU=")</f>
        <v>#VALUE!</v>
      </c>
      <c r="W28" t="e">
        <f>AND(Plants!F168,"AAAAAF+3TxY=")</f>
        <v>#VALUE!</v>
      </c>
      <c r="X28" t="e">
        <f>AND(Plants!G168,"AAAAAF+3Txc=")</f>
        <v>#VALUE!</v>
      </c>
      <c r="Y28" t="e">
        <f>AND(Plants!H168,"AAAAAF+3Txg=")</f>
        <v>#VALUE!</v>
      </c>
      <c r="Z28" t="e">
        <f>AND(Plants!I168,"AAAAAF+3Txk=")</f>
        <v>#VALUE!</v>
      </c>
      <c r="AA28" t="e">
        <f>AND(Plants!J168,"AAAAAF+3Txo=")</f>
        <v>#VALUE!</v>
      </c>
      <c r="AB28" t="e">
        <f>AND(Plants!K168,"AAAAAF+3Txs=")</f>
        <v>#VALUE!</v>
      </c>
      <c r="AC28" t="e">
        <f>AND(Plants!L168,"AAAAAF+3Txw=")</f>
        <v>#VALUE!</v>
      </c>
      <c r="AD28" t="e">
        <f>AND(Plants!M168,"AAAAAF+3Tx0=")</f>
        <v>#VALUE!</v>
      </c>
      <c r="AE28" t="e">
        <f>AND(Plants!N168,"AAAAAF+3Tx4=")</f>
        <v>#VALUE!</v>
      </c>
      <c r="AF28" t="e">
        <f>AND(Plants!O168,"AAAAAF+3Tx8=")</f>
        <v>#VALUE!</v>
      </c>
      <c r="AG28" t="e">
        <f>AND(Plants!P168,"AAAAAF+3TyA=")</f>
        <v>#VALUE!</v>
      </c>
      <c r="AH28" t="e">
        <f>AND(Plants!Q168,"AAAAAF+3TyE=")</f>
        <v>#VALUE!</v>
      </c>
      <c r="AI28">
        <f>IF(Plants!169:169,"AAAAAF+3TyI=",0)</f>
        <v>0</v>
      </c>
      <c r="AJ28" t="e">
        <f>AND(Plants!A169,"AAAAAF+3TyM=")</f>
        <v>#VALUE!</v>
      </c>
      <c r="AK28" t="e">
        <f>AND(Plants!B169,"AAAAAF+3TyQ=")</f>
        <v>#VALUE!</v>
      </c>
      <c r="AL28" t="e">
        <f>AND(Plants!C169,"AAAAAF+3TyU=")</f>
        <v>#VALUE!</v>
      </c>
      <c r="AM28" t="e">
        <f>AND(Plants!D169,"AAAAAF+3TyY=")</f>
        <v>#VALUE!</v>
      </c>
      <c r="AN28" t="e">
        <f>AND(Plants!E169,"AAAAAF+3Tyc=")</f>
        <v>#VALUE!</v>
      </c>
      <c r="AO28" t="e">
        <f>AND(Plants!F169,"AAAAAF+3Tyg=")</f>
        <v>#VALUE!</v>
      </c>
      <c r="AP28" t="e">
        <f>AND(Plants!G169,"AAAAAF+3Tyk=")</f>
        <v>#VALUE!</v>
      </c>
      <c r="AQ28" t="e">
        <f>AND(Plants!H169,"AAAAAF+3Tyo=")</f>
        <v>#VALUE!</v>
      </c>
      <c r="AR28" t="e">
        <f>AND(Plants!I169,"AAAAAF+3Tys=")</f>
        <v>#VALUE!</v>
      </c>
      <c r="AS28" t="e">
        <f>AND(Plants!J169,"AAAAAF+3Tyw=")</f>
        <v>#VALUE!</v>
      </c>
      <c r="AT28" t="e">
        <f>AND(Plants!K169,"AAAAAF+3Ty0=")</f>
        <v>#VALUE!</v>
      </c>
      <c r="AU28" t="e">
        <f>AND(Plants!L169,"AAAAAF+3Ty4=")</f>
        <v>#VALUE!</v>
      </c>
      <c r="AV28" t="e">
        <f>AND(Plants!M169,"AAAAAF+3Ty8=")</f>
        <v>#VALUE!</v>
      </c>
      <c r="AW28" t="e">
        <f>AND(Plants!N169,"AAAAAF+3TzA=")</f>
        <v>#VALUE!</v>
      </c>
      <c r="AX28" t="e">
        <f>AND(Plants!O169,"AAAAAF+3TzE=")</f>
        <v>#VALUE!</v>
      </c>
      <c r="AY28" t="e">
        <f>AND(Plants!P169,"AAAAAF+3TzI=")</f>
        <v>#VALUE!</v>
      </c>
      <c r="AZ28" t="e">
        <f>AND(Plants!Q169,"AAAAAF+3TzM=")</f>
        <v>#VALUE!</v>
      </c>
      <c r="BA28">
        <f>IF(Plants!170:170,"AAAAAF+3TzQ=",0)</f>
        <v>0</v>
      </c>
      <c r="BB28" t="e">
        <f>AND(Plants!A170,"AAAAAF+3TzU=")</f>
        <v>#VALUE!</v>
      </c>
      <c r="BC28" t="e">
        <f>AND(Plants!B170,"AAAAAF+3TzY=")</f>
        <v>#VALUE!</v>
      </c>
      <c r="BD28" t="e">
        <f>AND(Plants!C170,"AAAAAF+3Tzc=")</f>
        <v>#VALUE!</v>
      </c>
      <c r="BE28" t="e">
        <f>AND(Plants!D170,"AAAAAF+3Tzg=")</f>
        <v>#VALUE!</v>
      </c>
      <c r="BF28" t="e">
        <f>AND(Plants!E170,"AAAAAF+3Tzk=")</f>
        <v>#VALUE!</v>
      </c>
      <c r="BG28" t="e">
        <f>AND(Plants!F170,"AAAAAF+3Tzo=")</f>
        <v>#VALUE!</v>
      </c>
      <c r="BH28" t="e">
        <f>AND(Plants!G170,"AAAAAF+3Tzs=")</f>
        <v>#VALUE!</v>
      </c>
      <c r="BI28" t="e">
        <f>AND(Plants!H170,"AAAAAF+3Tzw=")</f>
        <v>#VALUE!</v>
      </c>
      <c r="BJ28" t="e">
        <f>AND(Plants!I170,"AAAAAF+3Tz0=")</f>
        <v>#VALUE!</v>
      </c>
      <c r="BK28" t="e">
        <f>AND(Plants!J170,"AAAAAF+3Tz4=")</f>
        <v>#VALUE!</v>
      </c>
      <c r="BL28" t="e">
        <f>AND(Plants!K170,"AAAAAF+3Tz8=")</f>
        <v>#VALUE!</v>
      </c>
      <c r="BM28" t="e">
        <f>AND(Plants!L170,"AAAAAF+3T0A=")</f>
        <v>#VALUE!</v>
      </c>
      <c r="BN28" t="e">
        <f>AND(Plants!M170,"AAAAAF+3T0E=")</f>
        <v>#VALUE!</v>
      </c>
      <c r="BO28" t="e">
        <f>AND(Plants!N170,"AAAAAF+3T0I=")</f>
        <v>#VALUE!</v>
      </c>
      <c r="BP28" t="e">
        <f>AND(Plants!O170,"AAAAAF+3T0M=")</f>
        <v>#VALUE!</v>
      </c>
      <c r="BQ28" t="e">
        <f>AND(Plants!P170,"AAAAAF+3T0Q=")</f>
        <v>#VALUE!</v>
      </c>
      <c r="BR28" t="e">
        <f>AND(Plants!Q170,"AAAAAF+3T0U=")</f>
        <v>#VALUE!</v>
      </c>
      <c r="BS28">
        <f>IF(Plants!171:171,"AAAAAF+3T0Y=",0)</f>
        <v>0</v>
      </c>
      <c r="BT28" t="e">
        <f>AND(Plants!A171,"AAAAAF+3T0c=")</f>
        <v>#VALUE!</v>
      </c>
      <c r="BU28" t="e">
        <f>AND(Plants!B171,"AAAAAF+3T0g=")</f>
        <v>#VALUE!</v>
      </c>
      <c r="BV28" t="e">
        <f>AND(Plants!C171,"AAAAAF+3T0k=")</f>
        <v>#VALUE!</v>
      </c>
      <c r="BW28" t="e">
        <f>AND(Plants!D171,"AAAAAF+3T0o=")</f>
        <v>#VALUE!</v>
      </c>
      <c r="BX28" t="e">
        <f>AND(Plants!E171,"AAAAAF+3T0s=")</f>
        <v>#VALUE!</v>
      </c>
      <c r="BY28" t="e">
        <f>AND(Plants!F171,"AAAAAF+3T0w=")</f>
        <v>#VALUE!</v>
      </c>
      <c r="BZ28" t="e">
        <f>AND(Plants!G171,"AAAAAF+3T00=")</f>
        <v>#VALUE!</v>
      </c>
      <c r="CA28" t="e">
        <f>AND(Plants!H171,"AAAAAF+3T04=")</f>
        <v>#VALUE!</v>
      </c>
      <c r="CB28" t="e">
        <f>AND(Plants!I171,"AAAAAF+3T08=")</f>
        <v>#VALUE!</v>
      </c>
      <c r="CC28" t="e">
        <f>AND(Plants!J171,"AAAAAF+3T1A=")</f>
        <v>#VALUE!</v>
      </c>
      <c r="CD28" t="e">
        <f>AND(Plants!K171,"AAAAAF+3T1E=")</f>
        <v>#VALUE!</v>
      </c>
      <c r="CE28" t="e">
        <f>AND(Plants!L171,"AAAAAF+3T1I=")</f>
        <v>#VALUE!</v>
      </c>
      <c r="CF28" t="e">
        <f>AND(Plants!M171,"AAAAAF+3T1M=")</f>
        <v>#VALUE!</v>
      </c>
      <c r="CG28" t="e">
        <f>AND(Plants!N171,"AAAAAF+3T1Q=")</f>
        <v>#VALUE!</v>
      </c>
      <c r="CH28" t="e">
        <f>AND(Plants!O171,"AAAAAF+3T1U=")</f>
        <v>#VALUE!</v>
      </c>
      <c r="CI28" t="e">
        <f>AND(Plants!P171,"AAAAAF+3T1Y=")</f>
        <v>#VALUE!</v>
      </c>
      <c r="CJ28" t="e">
        <f>AND(Plants!Q171,"AAAAAF+3T1c=")</f>
        <v>#VALUE!</v>
      </c>
      <c r="CK28">
        <f>IF(Plants!172:172,"AAAAAF+3T1g=",0)</f>
        <v>0</v>
      </c>
      <c r="CL28" t="e">
        <f>AND(Plants!A172,"AAAAAF+3T1k=")</f>
        <v>#VALUE!</v>
      </c>
      <c r="CM28" t="e">
        <f>AND(Plants!B172,"AAAAAF+3T1o=")</f>
        <v>#VALUE!</v>
      </c>
      <c r="CN28" t="e">
        <f>AND(Plants!C172,"AAAAAF+3T1s=")</f>
        <v>#VALUE!</v>
      </c>
      <c r="CO28" t="e">
        <f>AND(Plants!D172,"AAAAAF+3T1w=")</f>
        <v>#VALUE!</v>
      </c>
      <c r="CP28" t="e">
        <f>AND(Plants!E172,"AAAAAF+3T10=")</f>
        <v>#VALUE!</v>
      </c>
      <c r="CQ28" t="e">
        <f>AND(Plants!F172,"AAAAAF+3T14=")</f>
        <v>#VALUE!</v>
      </c>
      <c r="CR28" t="e">
        <f>AND(Plants!G172,"AAAAAF+3T18=")</f>
        <v>#VALUE!</v>
      </c>
      <c r="CS28" t="e">
        <f>AND(Plants!H172,"AAAAAF+3T2A=")</f>
        <v>#VALUE!</v>
      </c>
      <c r="CT28" t="e">
        <f>AND(Plants!I172,"AAAAAF+3T2E=")</f>
        <v>#VALUE!</v>
      </c>
      <c r="CU28" t="e">
        <f>AND(Plants!J172,"AAAAAF+3T2I=")</f>
        <v>#VALUE!</v>
      </c>
      <c r="CV28" t="e">
        <f>AND(Plants!K172,"AAAAAF+3T2M=")</f>
        <v>#VALUE!</v>
      </c>
      <c r="CW28" t="e">
        <f>AND(Plants!L172,"AAAAAF+3T2Q=")</f>
        <v>#VALUE!</v>
      </c>
      <c r="CX28" t="e">
        <f>AND(Plants!M172,"AAAAAF+3T2U=")</f>
        <v>#VALUE!</v>
      </c>
      <c r="CY28" t="e">
        <f>AND(Plants!N172,"AAAAAF+3T2Y=")</f>
        <v>#VALUE!</v>
      </c>
      <c r="CZ28" t="e">
        <f>AND(Plants!O172,"AAAAAF+3T2c=")</f>
        <v>#VALUE!</v>
      </c>
      <c r="DA28" t="e">
        <f>AND(Plants!P172,"AAAAAF+3T2g=")</f>
        <v>#VALUE!</v>
      </c>
      <c r="DB28" t="e">
        <f>AND(Plants!Q172,"AAAAAF+3T2k=")</f>
        <v>#VALUE!</v>
      </c>
      <c r="DC28">
        <f>IF(Plants!173:173,"AAAAAF+3T2o=",0)</f>
        <v>0</v>
      </c>
      <c r="DD28" t="e">
        <f>AND(Plants!A173,"AAAAAF+3T2s=")</f>
        <v>#VALUE!</v>
      </c>
      <c r="DE28" t="e">
        <f>AND(Plants!B173,"AAAAAF+3T2w=")</f>
        <v>#VALUE!</v>
      </c>
      <c r="DF28" t="e">
        <f>AND(Plants!C173,"AAAAAF+3T20=")</f>
        <v>#VALUE!</v>
      </c>
      <c r="DG28" t="e">
        <f>AND(Plants!D173,"AAAAAF+3T24=")</f>
        <v>#VALUE!</v>
      </c>
      <c r="DH28" t="e">
        <f>AND(Plants!E173,"AAAAAF+3T28=")</f>
        <v>#VALUE!</v>
      </c>
      <c r="DI28" t="e">
        <f>AND(Plants!F173,"AAAAAF+3T3A=")</f>
        <v>#VALUE!</v>
      </c>
      <c r="DJ28" t="e">
        <f>AND(Plants!G173,"AAAAAF+3T3E=")</f>
        <v>#VALUE!</v>
      </c>
      <c r="DK28" t="e">
        <f>AND(Plants!H173,"AAAAAF+3T3I=")</f>
        <v>#VALUE!</v>
      </c>
      <c r="DL28" t="e">
        <f>AND(Plants!I173,"AAAAAF+3T3M=")</f>
        <v>#VALUE!</v>
      </c>
      <c r="DM28" t="e">
        <f>AND(Plants!J173,"AAAAAF+3T3Q=")</f>
        <v>#VALUE!</v>
      </c>
      <c r="DN28" t="e">
        <f>AND(Plants!K173,"AAAAAF+3T3U=")</f>
        <v>#VALUE!</v>
      </c>
      <c r="DO28" t="e">
        <f>AND(Plants!L173,"AAAAAF+3T3Y=")</f>
        <v>#VALUE!</v>
      </c>
      <c r="DP28" t="e">
        <f>AND(Plants!M173,"AAAAAF+3T3c=")</f>
        <v>#VALUE!</v>
      </c>
      <c r="DQ28" t="e">
        <f>AND(Plants!N173,"AAAAAF+3T3g=")</f>
        <v>#VALUE!</v>
      </c>
      <c r="DR28" t="e">
        <f>AND(Plants!O173,"AAAAAF+3T3k=")</f>
        <v>#VALUE!</v>
      </c>
      <c r="DS28" t="e">
        <f>AND(Plants!P173,"AAAAAF+3T3o=")</f>
        <v>#VALUE!</v>
      </c>
      <c r="DT28" t="e">
        <f>AND(Plants!Q173,"AAAAAF+3T3s=")</f>
        <v>#VALUE!</v>
      </c>
      <c r="DU28">
        <f>IF(Plants!174:174,"AAAAAF+3T3w=",0)</f>
        <v>0</v>
      </c>
      <c r="DV28" t="e">
        <f>AND(Plants!A174,"AAAAAF+3T30=")</f>
        <v>#VALUE!</v>
      </c>
      <c r="DW28" t="e">
        <f>AND(Plants!B174,"AAAAAF+3T34=")</f>
        <v>#VALUE!</v>
      </c>
      <c r="DX28" t="e">
        <f>AND(Plants!C174,"AAAAAF+3T38=")</f>
        <v>#VALUE!</v>
      </c>
      <c r="DY28" t="e">
        <f>AND(Plants!D174,"AAAAAF+3T4A=")</f>
        <v>#VALUE!</v>
      </c>
      <c r="DZ28" t="e">
        <f>AND(Plants!E174,"AAAAAF+3T4E=")</f>
        <v>#VALUE!</v>
      </c>
      <c r="EA28" t="e">
        <f>AND(Plants!F174,"AAAAAF+3T4I=")</f>
        <v>#VALUE!</v>
      </c>
      <c r="EB28" t="e">
        <f>AND(Plants!G174,"AAAAAF+3T4M=")</f>
        <v>#VALUE!</v>
      </c>
      <c r="EC28" t="e">
        <f>AND(Plants!H174,"AAAAAF+3T4Q=")</f>
        <v>#VALUE!</v>
      </c>
      <c r="ED28" t="e">
        <f>AND(Plants!I174,"AAAAAF+3T4U=")</f>
        <v>#VALUE!</v>
      </c>
      <c r="EE28" t="e">
        <f>AND(Plants!J174,"AAAAAF+3T4Y=")</f>
        <v>#VALUE!</v>
      </c>
      <c r="EF28" t="e">
        <f>AND(Plants!K174,"AAAAAF+3T4c=")</f>
        <v>#VALUE!</v>
      </c>
      <c r="EG28" t="e">
        <f>AND(Plants!L174,"AAAAAF+3T4g=")</f>
        <v>#VALUE!</v>
      </c>
      <c r="EH28" t="e">
        <f>AND(Plants!M174,"AAAAAF+3T4k=")</f>
        <v>#VALUE!</v>
      </c>
      <c r="EI28" t="e">
        <f>AND(Plants!N174,"AAAAAF+3T4o=")</f>
        <v>#VALUE!</v>
      </c>
      <c r="EJ28" t="e">
        <f>AND(Plants!O174,"AAAAAF+3T4s=")</f>
        <v>#VALUE!</v>
      </c>
      <c r="EK28" t="e">
        <f>AND(Plants!P174,"AAAAAF+3T4w=")</f>
        <v>#VALUE!</v>
      </c>
      <c r="EL28" t="e">
        <f>AND(Plants!Q174,"AAAAAF+3T40=")</f>
        <v>#VALUE!</v>
      </c>
      <c r="EM28">
        <f>IF(Plants!175:175,"AAAAAF+3T44=",0)</f>
        <v>0</v>
      </c>
      <c r="EN28" t="e">
        <f>AND(Plants!A175,"AAAAAF+3T48=")</f>
        <v>#VALUE!</v>
      </c>
      <c r="EO28" t="e">
        <f>AND(Plants!B175,"AAAAAF+3T5A=")</f>
        <v>#VALUE!</v>
      </c>
      <c r="EP28" t="e">
        <f>AND(Plants!C175,"AAAAAF+3T5E=")</f>
        <v>#VALUE!</v>
      </c>
      <c r="EQ28" t="e">
        <f>AND(Plants!D175,"AAAAAF+3T5I=")</f>
        <v>#VALUE!</v>
      </c>
      <c r="ER28" t="e">
        <f>AND(Plants!E175,"AAAAAF+3T5M=")</f>
        <v>#VALUE!</v>
      </c>
      <c r="ES28" t="e">
        <f>AND(Plants!F175,"AAAAAF+3T5Q=")</f>
        <v>#VALUE!</v>
      </c>
      <c r="ET28" t="e">
        <f>AND(Plants!G175,"AAAAAF+3T5U=")</f>
        <v>#VALUE!</v>
      </c>
      <c r="EU28" t="e">
        <f>AND(Plants!H175,"AAAAAF+3T5Y=")</f>
        <v>#VALUE!</v>
      </c>
      <c r="EV28" t="e">
        <f>AND(Plants!I175,"AAAAAF+3T5c=")</f>
        <v>#VALUE!</v>
      </c>
      <c r="EW28" t="e">
        <f>AND(Plants!J175,"AAAAAF+3T5g=")</f>
        <v>#VALUE!</v>
      </c>
      <c r="EX28" t="e">
        <f>AND(Plants!K175,"AAAAAF+3T5k=")</f>
        <v>#VALUE!</v>
      </c>
      <c r="EY28" t="e">
        <f>AND(Plants!L175,"AAAAAF+3T5o=")</f>
        <v>#VALUE!</v>
      </c>
      <c r="EZ28" t="e">
        <f>AND(Plants!M175,"AAAAAF+3T5s=")</f>
        <v>#VALUE!</v>
      </c>
      <c r="FA28" t="e">
        <f>AND(Plants!N175,"AAAAAF+3T5w=")</f>
        <v>#VALUE!</v>
      </c>
      <c r="FB28" t="e">
        <f>AND(Plants!O175,"AAAAAF+3T50=")</f>
        <v>#VALUE!</v>
      </c>
      <c r="FC28" t="e">
        <f>AND(Plants!P175,"AAAAAF+3T54=")</f>
        <v>#VALUE!</v>
      </c>
      <c r="FD28" t="e">
        <f>AND(Plants!Q175,"AAAAAF+3T58=")</f>
        <v>#VALUE!</v>
      </c>
      <c r="FE28">
        <f>IF(Plants!176:176,"AAAAAF+3T6A=",0)</f>
        <v>0</v>
      </c>
      <c r="FF28" t="e">
        <f>AND(Plants!A176,"AAAAAF+3T6E=")</f>
        <v>#VALUE!</v>
      </c>
      <c r="FG28" t="e">
        <f>AND(Plants!B176,"AAAAAF+3T6I=")</f>
        <v>#VALUE!</v>
      </c>
      <c r="FH28" t="e">
        <f>AND(Plants!C176,"AAAAAF+3T6M=")</f>
        <v>#VALUE!</v>
      </c>
      <c r="FI28" t="e">
        <f>AND(Plants!D176,"AAAAAF+3T6Q=")</f>
        <v>#VALUE!</v>
      </c>
      <c r="FJ28" t="e">
        <f>AND(Plants!E176,"AAAAAF+3T6U=")</f>
        <v>#VALUE!</v>
      </c>
      <c r="FK28" t="e">
        <f>AND(Plants!F176,"AAAAAF+3T6Y=")</f>
        <v>#VALUE!</v>
      </c>
      <c r="FL28" t="e">
        <f>AND(Plants!G176,"AAAAAF+3T6c=")</f>
        <v>#VALUE!</v>
      </c>
      <c r="FM28" t="e">
        <f>AND(Plants!H176,"AAAAAF+3T6g=")</f>
        <v>#VALUE!</v>
      </c>
      <c r="FN28" t="e">
        <f>AND(Plants!I176,"AAAAAF+3T6k=")</f>
        <v>#VALUE!</v>
      </c>
      <c r="FO28" t="e">
        <f>AND(Plants!J176,"AAAAAF+3T6o=")</f>
        <v>#VALUE!</v>
      </c>
      <c r="FP28" t="e">
        <f>AND(Plants!K176,"AAAAAF+3T6s=")</f>
        <v>#VALUE!</v>
      </c>
      <c r="FQ28" t="e">
        <f>AND(Plants!L176,"AAAAAF+3T6w=")</f>
        <v>#VALUE!</v>
      </c>
      <c r="FR28" t="e">
        <f>AND(Plants!M176,"AAAAAF+3T60=")</f>
        <v>#VALUE!</v>
      </c>
      <c r="FS28" t="e">
        <f>AND(Plants!N176,"AAAAAF+3T64=")</f>
        <v>#VALUE!</v>
      </c>
      <c r="FT28" t="e">
        <f>AND(Plants!O176,"AAAAAF+3T68=")</f>
        <v>#VALUE!</v>
      </c>
      <c r="FU28" t="e">
        <f>AND(Plants!P176,"AAAAAF+3T7A=")</f>
        <v>#VALUE!</v>
      </c>
      <c r="FV28" t="e">
        <f>AND(Plants!Q176,"AAAAAF+3T7E=")</f>
        <v>#VALUE!</v>
      </c>
      <c r="FW28">
        <f>IF(Plants!177:177,"AAAAAF+3T7I=",0)</f>
        <v>0</v>
      </c>
      <c r="FX28" t="e">
        <f>AND(Plants!A177,"AAAAAF+3T7M=")</f>
        <v>#VALUE!</v>
      </c>
      <c r="FY28" t="e">
        <f>AND(Plants!B177,"AAAAAF+3T7Q=")</f>
        <v>#VALUE!</v>
      </c>
      <c r="FZ28" t="e">
        <f>AND(Plants!C177,"AAAAAF+3T7U=")</f>
        <v>#VALUE!</v>
      </c>
      <c r="GA28" t="e">
        <f>AND(Plants!D177,"AAAAAF+3T7Y=")</f>
        <v>#VALUE!</v>
      </c>
      <c r="GB28" t="e">
        <f>AND(Plants!E177,"AAAAAF+3T7c=")</f>
        <v>#VALUE!</v>
      </c>
      <c r="GC28" t="e">
        <f>AND(Plants!F177,"AAAAAF+3T7g=")</f>
        <v>#VALUE!</v>
      </c>
      <c r="GD28" t="e">
        <f>AND(Plants!G177,"AAAAAF+3T7k=")</f>
        <v>#VALUE!</v>
      </c>
      <c r="GE28" t="e">
        <f>AND(Plants!H177,"AAAAAF+3T7o=")</f>
        <v>#VALUE!</v>
      </c>
      <c r="GF28" t="e">
        <f>AND(Plants!I177,"AAAAAF+3T7s=")</f>
        <v>#VALUE!</v>
      </c>
      <c r="GG28" t="e">
        <f>AND(Plants!J177,"AAAAAF+3T7w=")</f>
        <v>#VALUE!</v>
      </c>
      <c r="GH28" t="e">
        <f>AND(Plants!K177,"AAAAAF+3T70=")</f>
        <v>#VALUE!</v>
      </c>
      <c r="GI28" t="e">
        <f>AND(Plants!L177,"AAAAAF+3T74=")</f>
        <v>#VALUE!</v>
      </c>
      <c r="GJ28" t="e">
        <f>AND(Plants!M177,"AAAAAF+3T78=")</f>
        <v>#VALUE!</v>
      </c>
      <c r="GK28" t="e">
        <f>AND(Plants!N177,"AAAAAF+3T8A=")</f>
        <v>#VALUE!</v>
      </c>
      <c r="GL28" t="e">
        <f>AND(Plants!O177,"AAAAAF+3T8E=")</f>
        <v>#VALUE!</v>
      </c>
      <c r="GM28" t="e">
        <f>AND(Plants!P177,"AAAAAF+3T8I=")</f>
        <v>#VALUE!</v>
      </c>
      <c r="GN28" t="e">
        <f>AND(Plants!Q177,"AAAAAF+3T8M=")</f>
        <v>#VALUE!</v>
      </c>
      <c r="GO28">
        <f>IF(Plants!178:178,"AAAAAF+3T8Q=",0)</f>
        <v>0</v>
      </c>
      <c r="GP28" t="e">
        <f>AND(Plants!A178,"AAAAAF+3T8U=")</f>
        <v>#VALUE!</v>
      </c>
      <c r="GQ28" t="e">
        <f>AND(Plants!B178,"AAAAAF+3T8Y=")</f>
        <v>#VALUE!</v>
      </c>
      <c r="GR28" t="e">
        <f>AND(Plants!C178,"AAAAAF+3T8c=")</f>
        <v>#VALUE!</v>
      </c>
      <c r="GS28" t="e">
        <f>AND(Plants!D178,"AAAAAF+3T8g=")</f>
        <v>#VALUE!</v>
      </c>
      <c r="GT28" t="e">
        <f>AND(Plants!E178,"AAAAAF+3T8k=")</f>
        <v>#VALUE!</v>
      </c>
      <c r="GU28" t="e">
        <f>AND(Plants!F178,"AAAAAF+3T8o=")</f>
        <v>#VALUE!</v>
      </c>
      <c r="GV28" t="e">
        <f>AND(Plants!G178,"AAAAAF+3T8s=")</f>
        <v>#VALUE!</v>
      </c>
      <c r="GW28" t="e">
        <f>AND(Plants!H178,"AAAAAF+3T8w=")</f>
        <v>#VALUE!</v>
      </c>
      <c r="GX28" t="e">
        <f>AND(Plants!I178,"AAAAAF+3T80=")</f>
        <v>#VALUE!</v>
      </c>
      <c r="GY28" t="e">
        <f>AND(Plants!J178,"AAAAAF+3T84=")</f>
        <v>#VALUE!</v>
      </c>
      <c r="GZ28" t="e">
        <f>AND(Plants!K178,"AAAAAF+3T88=")</f>
        <v>#VALUE!</v>
      </c>
      <c r="HA28" t="e">
        <f>AND(Plants!L178,"AAAAAF+3T9A=")</f>
        <v>#VALUE!</v>
      </c>
      <c r="HB28" t="e">
        <f>AND(Plants!M178,"AAAAAF+3T9E=")</f>
        <v>#VALUE!</v>
      </c>
      <c r="HC28" t="e">
        <f>AND(Plants!N178,"AAAAAF+3T9I=")</f>
        <v>#VALUE!</v>
      </c>
      <c r="HD28" t="e">
        <f>AND(Plants!O178,"AAAAAF+3T9M=")</f>
        <v>#VALUE!</v>
      </c>
      <c r="HE28" t="e">
        <f>AND(Plants!P178,"AAAAAF+3T9Q=")</f>
        <v>#VALUE!</v>
      </c>
      <c r="HF28" t="e">
        <f>AND(Plants!Q178,"AAAAAF+3T9U=")</f>
        <v>#VALUE!</v>
      </c>
      <c r="HG28">
        <f>IF(Plants!179:179,"AAAAAF+3T9Y=",0)</f>
        <v>0</v>
      </c>
      <c r="HH28" t="e">
        <f>AND(Plants!A179,"AAAAAF+3T9c=")</f>
        <v>#VALUE!</v>
      </c>
      <c r="HI28" t="e">
        <f>AND(Plants!B179,"AAAAAF+3T9g=")</f>
        <v>#VALUE!</v>
      </c>
      <c r="HJ28" t="e">
        <f>AND(Plants!C179,"AAAAAF+3T9k=")</f>
        <v>#VALUE!</v>
      </c>
      <c r="HK28" t="e">
        <f>AND(Plants!D179,"AAAAAF+3T9o=")</f>
        <v>#VALUE!</v>
      </c>
      <c r="HL28" t="e">
        <f>AND(Plants!E179,"AAAAAF+3T9s=")</f>
        <v>#VALUE!</v>
      </c>
      <c r="HM28" t="e">
        <f>AND(Plants!F179,"AAAAAF+3T9w=")</f>
        <v>#VALUE!</v>
      </c>
      <c r="HN28" t="e">
        <f>AND(Plants!G179,"AAAAAF+3T90=")</f>
        <v>#VALUE!</v>
      </c>
      <c r="HO28" t="e">
        <f>AND(Plants!H179,"AAAAAF+3T94=")</f>
        <v>#VALUE!</v>
      </c>
      <c r="HP28" t="e">
        <f>AND(Plants!I179,"AAAAAF+3T98=")</f>
        <v>#VALUE!</v>
      </c>
      <c r="HQ28" t="e">
        <f>AND(Plants!J179,"AAAAAF+3T+A=")</f>
        <v>#VALUE!</v>
      </c>
      <c r="HR28" t="e">
        <f>AND(Plants!K179,"AAAAAF+3T+E=")</f>
        <v>#VALUE!</v>
      </c>
      <c r="HS28" t="e">
        <f>AND(Plants!L179,"AAAAAF+3T+I=")</f>
        <v>#VALUE!</v>
      </c>
      <c r="HT28" t="e">
        <f>AND(Plants!M179,"AAAAAF+3T+M=")</f>
        <v>#VALUE!</v>
      </c>
      <c r="HU28" t="e">
        <f>AND(Plants!N179,"AAAAAF+3T+Q=")</f>
        <v>#VALUE!</v>
      </c>
      <c r="HV28" t="e">
        <f>AND(Plants!O179,"AAAAAF+3T+U=")</f>
        <v>#VALUE!</v>
      </c>
      <c r="HW28" t="e">
        <f>AND(Plants!P179,"AAAAAF+3T+Y=")</f>
        <v>#VALUE!</v>
      </c>
      <c r="HX28" t="e">
        <f>AND(Plants!Q179,"AAAAAF+3T+c=")</f>
        <v>#VALUE!</v>
      </c>
      <c r="HY28">
        <f>IF(Plants!180:180,"AAAAAF+3T+g=",0)</f>
        <v>0</v>
      </c>
      <c r="HZ28" t="e">
        <f>AND(Plants!A180,"AAAAAF+3T+k=")</f>
        <v>#VALUE!</v>
      </c>
      <c r="IA28" t="e">
        <f>AND(Plants!B180,"AAAAAF+3T+o=")</f>
        <v>#VALUE!</v>
      </c>
      <c r="IB28" t="e">
        <f>AND(Plants!C180,"AAAAAF+3T+s=")</f>
        <v>#VALUE!</v>
      </c>
      <c r="IC28" t="e">
        <f>AND(Plants!D180,"AAAAAF+3T+w=")</f>
        <v>#VALUE!</v>
      </c>
      <c r="ID28" t="e">
        <f>AND(Plants!E180,"AAAAAF+3T+0=")</f>
        <v>#VALUE!</v>
      </c>
      <c r="IE28" t="e">
        <f>AND(Plants!F180,"AAAAAF+3T+4=")</f>
        <v>#VALUE!</v>
      </c>
      <c r="IF28" t="e">
        <f>AND(Plants!G180,"AAAAAF+3T+8=")</f>
        <v>#VALUE!</v>
      </c>
      <c r="IG28" t="e">
        <f>AND(Plants!H180,"AAAAAF+3T/A=")</f>
        <v>#VALUE!</v>
      </c>
      <c r="IH28" t="e">
        <f>AND(Plants!I180,"AAAAAF+3T/E=")</f>
        <v>#VALUE!</v>
      </c>
      <c r="II28" t="e">
        <f>AND(Plants!J180,"AAAAAF+3T/I=")</f>
        <v>#VALUE!</v>
      </c>
      <c r="IJ28" t="e">
        <f>AND(Plants!K180,"AAAAAF+3T/M=")</f>
        <v>#VALUE!</v>
      </c>
      <c r="IK28" t="e">
        <f>AND(Plants!L180,"AAAAAF+3T/Q=")</f>
        <v>#VALUE!</v>
      </c>
      <c r="IL28" t="e">
        <f>AND(Plants!M180,"AAAAAF+3T/U=")</f>
        <v>#VALUE!</v>
      </c>
      <c r="IM28" t="e">
        <f>AND(Plants!N180,"AAAAAF+3T/Y=")</f>
        <v>#VALUE!</v>
      </c>
      <c r="IN28" t="e">
        <f>AND(Plants!O180,"AAAAAF+3T/c=")</f>
        <v>#VALUE!</v>
      </c>
      <c r="IO28" t="e">
        <f>AND(Plants!P180,"AAAAAF+3T/g=")</f>
        <v>#VALUE!</v>
      </c>
      <c r="IP28" t="e">
        <f>AND(Plants!Q180,"AAAAAF+3T/k=")</f>
        <v>#VALUE!</v>
      </c>
      <c r="IQ28">
        <f>IF(Plants!181:181,"AAAAAF+3T/o=",0)</f>
        <v>0</v>
      </c>
      <c r="IR28" t="e">
        <f>AND(Plants!A181,"AAAAAF+3T/s=")</f>
        <v>#VALUE!</v>
      </c>
      <c r="IS28" t="e">
        <f>AND(Plants!B181,"AAAAAF+3T/w=")</f>
        <v>#VALUE!</v>
      </c>
      <c r="IT28" t="e">
        <f>AND(Plants!C181,"AAAAAF+3T/0=")</f>
        <v>#VALUE!</v>
      </c>
      <c r="IU28" t="e">
        <f>AND(Plants!D181,"AAAAAF+3T/4=")</f>
        <v>#VALUE!</v>
      </c>
      <c r="IV28" t="e">
        <f>AND(Plants!E181,"AAAAAF+3T/8=")</f>
        <v>#VALUE!</v>
      </c>
    </row>
    <row r="29" spans="1:256">
      <c r="A29" t="e">
        <f>AND(Plants!F181,"AAAAAHb/fwA=")</f>
        <v>#VALUE!</v>
      </c>
      <c r="B29" t="e">
        <f>AND(Plants!G181,"AAAAAHb/fwE=")</f>
        <v>#VALUE!</v>
      </c>
      <c r="C29" t="e">
        <f>AND(Plants!H181,"AAAAAHb/fwI=")</f>
        <v>#VALUE!</v>
      </c>
      <c r="D29" t="e">
        <f>AND(Plants!I181,"AAAAAHb/fwM=")</f>
        <v>#VALUE!</v>
      </c>
      <c r="E29" t="e">
        <f>AND(Plants!J181,"AAAAAHb/fwQ=")</f>
        <v>#VALUE!</v>
      </c>
      <c r="F29" t="e">
        <f>AND(Plants!K181,"AAAAAHb/fwU=")</f>
        <v>#VALUE!</v>
      </c>
      <c r="G29" t="e">
        <f>AND(Plants!L181,"AAAAAHb/fwY=")</f>
        <v>#VALUE!</v>
      </c>
      <c r="H29" t="e">
        <f>AND(Plants!M181,"AAAAAHb/fwc=")</f>
        <v>#VALUE!</v>
      </c>
      <c r="I29" t="e">
        <f>AND(Plants!N181,"AAAAAHb/fwg=")</f>
        <v>#VALUE!</v>
      </c>
      <c r="J29" t="e">
        <f>AND(Plants!O181,"AAAAAHb/fwk=")</f>
        <v>#VALUE!</v>
      </c>
      <c r="K29" t="e">
        <f>AND(Plants!P181,"AAAAAHb/fwo=")</f>
        <v>#VALUE!</v>
      </c>
      <c r="L29" t="e">
        <f>AND(Plants!Q181,"AAAAAHb/fws=")</f>
        <v>#VALUE!</v>
      </c>
      <c r="M29">
        <f>IF(Plants!182:182,"AAAAAHb/fww=",0)</f>
        <v>0</v>
      </c>
      <c r="N29" t="e">
        <f>AND(Plants!A182,"AAAAAHb/fw0=")</f>
        <v>#VALUE!</v>
      </c>
      <c r="O29" t="e">
        <f>AND(Plants!B182,"AAAAAHb/fw4=")</f>
        <v>#VALUE!</v>
      </c>
      <c r="P29" t="e">
        <f>AND(Plants!C182,"AAAAAHb/fw8=")</f>
        <v>#VALUE!</v>
      </c>
      <c r="Q29" t="e">
        <f>AND(Plants!D182,"AAAAAHb/fxA=")</f>
        <v>#VALUE!</v>
      </c>
      <c r="R29" t="e">
        <f>AND(Plants!E182,"AAAAAHb/fxE=")</f>
        <v>#VALUE!</v>
      </c>
      <c r="S29" t="e">
        <f>AND(Plants!F182,"AAAAAHb/fxI=")</f>
        <v>#VALUE!</v>
      </c>
      <c r="T29" t="e">
        <f>AND(Plants!G182,"AAAAAHb/fxM=")</f>
        <v>#VALUE!</v>
      </c>
      <c r="U29" t="e">
        <f>AND(Plants!H182,"AAAAAHb/fxQ=")</f>
        <v>#VALUE!</v>
      </c>
      <c r="V29" t="e">
        <f>AND(Plants!I182,"AAAAAHb/fxU=")</f>
        <v>#VALUE!</v>
      </c>
      <c r="W29" t="e">
        <f>AND(Plants!J182,"AAAAAHb/fxY=")</f>
        <v>#VALUE!</v>
      </c>
      <c r="X29" t="e">
        <f>AND(Plants!K182,"AAAAAHb/fxc=")</f>
        <v>#VALUE!</v>
      </c>
      <c r="Y29" t="e">
        <f>AND(Plants!L182,"AAAAAHb/fxg=")</f>
        <v>#VALUE!</v>
      </c>
      <c r="Z29" t="e">
        <f>AND(Plants!M182,"AAAAAHb/fxk=")</f>
        <v>#VALUE!</v>
      </c>
      <c r="AA29" t="e">
        <f>AND(Plants!N182,"AAAAAHb/fxo=")</f>
        <v>#VALUE!</v>
      </c>
      <c r="AB29" t="e">
        <f>AND(Plants!O182,"AAAAAHb/fxs=")</f>
        <v>#VALUE!</v>
      </c>
      <c r="AC29" t="e">
        <f>AND(Plants!P182,"AAAAAHb/fxw=")</f>
        <v>#VALUE!</v>
      </c>
      <c r="AD29" t="e">
        <f>AND(Plants!Q182,"AAAAAHb/fx0=")</f>
        <v>#VALUE!</v>
      </c>
      <c r="AE29">
        <f>IF(Plants!183:183,"AAAAAHb/fx4=",0)</f>
        <v>0</v>
      </c>
      <c r="AF29" t="e">
        <f>AND(Plants!A183,"AAAAAHb/fx8=")</f>
        <v>#VALUE!</v>
      </c>
      <c r="AG29" t="e">
        <f>AND(Plants!B183,"AAAAAHb/fyA=")</f>
        <v>#VALUE!</v>
      </c>
      <c r="AH29" t="e">
        <f>AND(Plants!C183,"AAAAAHb/fyE=")</f>
        <v>#VALUE!</v>
      </c>
      <c r="AI29" t="e">
        <f>AND(Plants!D183,"AAAAAHb/fyI=")</f>
        <v>#VALUE!</v>
      </c>
      <c r="AJ29" t="e">
        <f>AND(Plants!E183,"AAAAAHb/fyM=")</f>
        <v>#VALUE!</v>
      </c>
      <c r="AK29" t="e">
        <f>AND(Plants!F183,"AAAAAHb/fyQ=")</f>
        <v>#VALUE!</v>
      </c>
      <c r="AL29" t="e">
        <f>AND(Plants!G183,"AAAAAHb/fyU=")</f>
        <v>#VALUE!</v>
      </c>
      <c r="AM29" t="e">
        <f>AND(Plants!H183,"AAAAAHb/fyY=")</f>
        <v>#VALUE!</v>
      </c>
      <c r="AN29" t="e">
        <f>AND(Plants!I183,"AAAAAHb/fyc=")</f>
        <v>#VALUE!</v>
      </c>
      <c r="AO29" t="e">
        <f>AND(Plants!J183,"AAAAAHb/fyg=")</f>
        <v>#VALUE!</v>
      </c>
      <c r="AP29" t="e">
        <f>AND(Plants!K183,"AAAAAHb/fyk=")</f>
        <v>#VALUE!</v>
      </c>
      <c r="AQ29" t="e">
        <f>AND(Plants!L183,"AAAAAHb/fyo=")</f>
        <v>#VALUE!</v>
      </c>
      <c r="AR29" t="e">
        <f>AND(Plants!M183,"AAAAAHb/fys=")</f>
        <v>#VALUE!</v>
      </c>
      <c r="AS29" t="e">
        <f>AND(Plants!N183,"AAAAAHb/fyw=")</f>
        <v>#VALUE!</v>
      </c>
      <c r="AT29" t="e">
        <f>AND(Plants!O183,"AAAAAHb/fy0=")</f>
        <v>#VALUE!</v>
      </c>
      <c r="AU29" t="e">
        <f>AND(Plants!P183,"AAAAAHb/fy4=")</f>
        <v>#VALUE!</v>
      </c>
      <c r="AV29" t="e">
        <f>AND(Plants!Q183,"AAAAAHb/fy8=")</f>
        <v>#VALUE!</v>
      </c>
      <c r="AW29">
        <f>IF(Plants!184:184,"AAAAAHb/fzA=",0)</f>
        <v>0</v>
      </c>
      <c r="AX29" t="e">
        <f>AND(Plants!A184,"AAAAAHb/fzE=")</f>
        <v>#VALUE!</v>
      </c>
      <c r="AY29" t="e">
        <f>AND(Plants!B184,"AAAAAHb/fzI=")</f>
        <v>#VALUE!</v>
      </c>
      <c r="AZ29" t="e">
        <f>AND(Plants!C184,"AAAAAHb/fzM=")</f>
        <v>#VALUE!</v>
      </c>
      <c r="BA29" t="e">
        <f>AND(Plants!D184,"AAAAAHb/fzQ=")</f>
        <v>#VALUE!</v>
      </c>
      <c r="BB29" t="e">
        <f>AND(Plants!E184,"AAAAAHb/fzU=")</f>
        <v>#VALUE!</v>
      </c>
      <c r="BC29" t="e">
        <f>AND(Plants!F184,"AAAAAHb/fzY=")</f>
        <v>#VALUE!</v>
      </c>
      <c r="BD29" t="e">
        <f>AND(Plants!G184,"AAAAAHb/fzc=")</f>
        <v>#VALUE!</v>
      </c>
      <c r="BE29" t="e">
        <f>AND(Plants!H184,"AAAAAHb/fzg=")</f>
        <v>#VALUE!</v>
      </c>
      <c r="BF29" t="e">
        <f>AND(Plants!I184,"AAAAAHb/fzk=")</f>
        <v>#VALUE!</v>
      </c>
      <c r="BG29" t="e">
        <f>AND(Plants!J184,"AAAAAHb/fzo=")</f>
        <v>#VALUE!</v>
      </c>
      <c r="BH29" t="e">
        <f>AND(Plants!K184,"AAAAAHb/fzs=")</f>
        <v>#VALUE!</v>
      </c>
      <c r="BI29" t="e">
        <f>AND(Plants!L184,"AAAAAHb/fzw=")</f>
        <v>#VALUE!</v>
      </c>
      <c r="BJ29" t="e">
        <f>AND(Plants!M184,"AAAAAHb/fz0=")</f>
        <v>#VALUE!</v>
      </c>
      <c r="BK29" t="e">
        <f>AND(Plants!N184,"AAAAAHb/fz4=")</f>
        <v>#VALUE!</v>
      </c>
      <c r="BL29" t="e">
        <f>AND(Plants!O184,"AAAAAHb/fz8=")</f>
        <v>#VALUE!</v>
      </c>
      <c r="BM29" t="e">
        <f>AND(Plants!P184,"AAAAAHb/f0A=")</f>
        <v>#VALUE!</v>
      </c>
      <c r="BN29" t="e">
        <f>AND(Plants!Q184,"AAAAAHb/f0E=")</f>
        <v>#VALUE!</v>
      </c>
      <c r="BO29">
        <f>IF(Plants!185:185,"AAAAAHb/f0I=",0)</f>
        <v>0</v>
      </c>
      <c r="BP29" t="e">
        <f>AND(Plants!A185,"AAAAAHb/f0M=")</f>
        <v>#VALUE!</v>
      </c>
      <c r="BQ29" t="e">
        <f>AND(Plants!B185,"AAAAAHb/f0Q=")</f>
        <v>#VALUE!</v>
      </c>
      <c r="BR29" t="e">
        <f>AND(Plants!C185,"AAAAAHb/f0U=")</f>
        <v>#VALUE!</v>
      </c>
      <c r="BS29" t="e">
        <f>AND(Plants!D185,"AAAAAHb/f0Y=")</f>
        <v>#VALUE!</v>
      </c>
      <c r="BT29" t="e">
        <f>AND(Plants!E185,"AAAAAHb/f0c=")</f>
        <v>#VALUE!</v>
      </c>
      <c r="BU29" t="e">
        <f>AND(Plants!F185,"AAAAAHb/f0g=")</f>
        <v>#VALUE!</v>
      </c>
      <c r="BV29" t="e">
        <f>AND(Plants!G185,"AAAAAHb/f0k=")</f>
        <v>#VALUE!</v>
      </c>
      <c r="BW29" t="e">
        <f>AND(Plants!H185,"AAAAAHb/f0o=")</f>
        <v>#VALUE!</v>
      </c>
      <c r="BX29" t="e">
        <f>AND(Plants!I185,"AAAAAHb/f0s=")</f>
        <v>#VALUE!</v>
      </c>
      <c r="BY29" t="e">
        <f>AND(Plants!J185,"AAAAAHb/f0w=")</f>
        <v>#VALUE!</v>
      </c>
      <c r="BZ29" t="e">
        <f>AND(Plants!K185,"AAAAAHb/f00=")</f>
        <v>#VALUE!</v>
      </c>
      <c r="CA29" t="e">
        <f>AND(Plants!L185,"AAAAAHb/f04=")</f>
        <v>#VALUE!</v>
      </c>
      <c r="CB29" t="e">
        <f>AND(Plants!M185,"AAAAAHb/f08=")</f>
        <v>#VALUE!</v>
      </c>
      <c r="CC29" t="e">
        <f>AND(Plants!N185,"AAAAAHb/f1A=")</f>
        <v>#VALUE!</v>
      </c>
      <c r="CD29" t="e">
        <f>AND(Plants!O185,"AAAAAHb/f1E=")</f>
        <v>#VALUE!</v>
      </c>
      <c r="CE29" t="e">
        <f>AND(Plants!P185,"AAAAAHb/f1I=")</f>
        <v>#VALUE!</v>
      </c>
      <c r="CF29" t="e">
        <f>AND(Plants!Q185,"AAAAAHb/f1M=")</f>
        <v>#VALUE!</v>
      </c>
      <c r="CG29">
        <f>IF(Plants!186:186,"AAAAAHb/f1Q=",0)</f>
        <v>0</v>
      </c>
      <c r="CH29" t="e">
        <f>AND(Plants!A186,"AAAAAHb/f1U=")</f>
        <v>#VALUE!</v>
      </c>
      <c r="CI29" t="e">
        <f>AND(Plants!B186,"AAAAAHb/f1Y=")</f>
        <v>#VALUE!</v>
      </c>
      <c r="CJ29" t="e">
        <f>AND(Plants!C186,"AAAAAHb/f1c=")</f>
        <v>#VALUE!</v>
      </c>
      <c r="CK29" t="e">
        <f>AND(Plants!D186,"AAAAAHb/f1g=")</f>
        <v>#VALUE!</v>
      </c>
      <c r="CL29" t="e">
        <f>AND(Plants!E186,"AAAAAHb/f1k=")</f>
        <v>#VALUE!</v>
      </c>
      <c r="CM29" t="e">
        <f>AND(Plants!F186,"AAAAAHb/f1o=")</f>
        <v>#VALUE!</v>
      </c>
      <c r="CN29" t="e">
        <f>AND(Plants!G186,"AAAAAHb/f1s=")</f>
        <v>#VALUE!</v>
      </c>
      <c r="CO29" t="e">
        <f>AND(Plants!H186,"AAAAAHb/f1w=")</f>
        <v>#VALUE!</v>
      </c>
      <c r="CP29" t="e">
        <f>AND(Plants!I186,"AAAAAHb/f10=")</f>
        <v>#VALUE!</v>
      </c>
      <c r="CQ29" t="e">
        <f>AND(Plants!J186,"AAAAAHb/f14=")</f>
        <v>#VALUE!</v>
      </c>
      <c r="CR29" t="e">
        <f>AND(Plants!K186,"AAAAAHb/f18=")</f>
        <v>#VALUE!</v>
      </c>
      <c r="CS29" t="e">
        <f>AND(Plants!L186,"AAAAAHb/f2A=")</f>
        <v>#VALUE!</v>
      </c>
      <c r="CT29" t="e">
        <f>AND(Plants!M186,"AAAAAHb/f2E=")</f>
        <v>#VALUE!</v>
      </c>
      <c r="CU29" t="e">
        <f>AND(Plants!N186,"AAAAAHb/f2I=")</f>
        <v>#VALUE!</v>
      </c>
      <c r="CV29" t="e">
        <f>AND(Plants!O186,"AAAAAHb/f2M=")</f>
        <v>#VALUE!</v>
      </c>
      <c r="CW29" t="e">
        <f>AND(Plants!P186,"AAAAAHb/f2Q=")</f>
        <v>#VALUE!</v>
      </c>
      <c r="CX29" t="e">
        <f>AND(Plants!Q186,"AAAAAHb/f2U=")</f>
        <v>#VALUE!</v>
      </c>
      <c r="CY29">
        <f>IF(Plants!187:187,"AAAAAHb/f2Y=",0)</f>
        <v>0</v>
      </c>
      <c r="CZ29" t="e">
        <f>AND(Plants!A187,"AAAAAHb/f2c=")</f>
        <v>#VALUE!</v>
      </c>
      <c r="DA29" t="e">
        <f>AND(Plants!B187,"AAAAAHb/f2g=")</f>
        <v>#VALUE!</v>
      </c>
      <c r="DB29" t="e">
        <f>AND(Plants!C187,"AAAAAHb/f2k=")</f>
        <v>#VALUE!</v>
      </c>
      <c r="DC29" t="e">
        <f>AND(Plants!D187,"AAAAAHb/f2o=")</f>
        <v>#VALUE!</v>
      </c>
      <c r="DD29" t="e">
        <f>AND(Plants!E187,"AAAAAHb/f2s=")</f>
        <v>#VALUE!</v>
      </c>
      <c r="DE29" t="e">
        <f>AND(Plants!F187,"AAAAAHb/f2w=")</f>
        <v>#VALUE!</v>
      </c>
      <c r="DF29" t="e">
        <f>AND(Plants!G187,"AAAAAHb/f20=")</f>
        <v>#VALUE!</v>
      </c>
      <c r="DG29" t="e">
        <f>AND(Plants!H187,"AAAAAHb/f24=")</f>
        <v>#VALUE!</v>
      </c>
      <c r="DH29" t="e">
        <f>AND(Plants!I187,"AAAAAHb/f28=")</f>
        <v>#VALUE!</v>
      </c>
      <c r="DI29" t="e">
        <f>AND(Plants!J187,"AAAAAHb/f3A=")</f>
        <v>#VALUE!</v>
      </c>
      <c r="DJ29" t="e">
        <f>AND(Plants!K187,"AAAAAHb/f3E=")</f>
        <v>#VALUE!</v>
      </c>
      <c r="DK29" t="e">
        <f>AND(Plants!L187,"AAAAAHb/f3I=")</f>
        <v>#VALUE!</v>
      </c>
      <c r="DL29" t="e">
        <f>AND(Plants!M187,"AAAAAHb/f3M=")</f>
        <v>#VALUE!</v>
      </c>
      <c r="DM29" t="e">
        <f>AND(Plants!N187,"AAAAAHb/f3Q=")</f>
        <v>#VALUE!</v>
      </c>
      <c r="DN29" t="e">
        <f>AND(Plants!O187,"AAAAAHb/f3U=")</f>
        <v>#VALUE!</v>
      </c>
      <c r="DO29" t="e">
        <f>AND(Plants!P187,"AAAAAHb/f3Y=")</f>
        <v>#VALUE!</v>
      </c>
      <c r="DP29" t="e">
        <f>AND(Plants!Q187,"AAAAAHb/f3c=")</f>
        <v>#VALUE!</v>
      </c>
      <c r="DQ29">
        <f>IF(Plants!188:188,"AAAAAHb/f3g=",0)</f>
        <v>0</v>
      </c>
      <c r="DR29" t="e">
        <f>AND(Plants!A188,"AAAAAHb/f3k=")</f>
        <v>#VALUE!</v>
      </c>
      <c r="DS29" t="e">
        <f>AND(Plants!B188,"AAAAAHb/f3o=")</f>
        <v>#VALUE!</v>
      </c>
      <c r="DT29" t="e">
        <f>AND(Plants!C188,"AAAAAHb/f3s=")</f>
        <v>#VALUE!</v>
      </c>
      <c r="DU29" t="e">
        <f>AND(Plants!D188,"AAAAAHb/f3w=")</f>
        <v>#VALUE!</v>
      </c>
      <c r="DV29" t="e">
        <f>AND(Plants!E188,"AAAAAHb/f30=")</f>
        <v>#VALUE!</v>
      </c>
      <c r="DW29" t="e">
        <f>AND(Plants!F188,"AAAAAHb/f34=")</f>
        <v>#VALUE!</v>
      </c>
      <c r="DX29" t="e">
        <f>AND(Plants!G188,"AAAAAHb/f38=")</f>
        <v>#VALUE!</v>
      </c>
      <c r="DY29" t="e">
        <f>AND(Plants!H188,"AAAAAHb/f4A=")</f>
        <v>#VALUE!</v>
      </c>
      <c r="DZ29" t="e">
        <f>AND(Plants!I188,"AAAAAHb/f4E=")</f>
        <v>#VALUE!</v>
      </c>
      <c r="EA29" t="e">
        <f>AND(Plants!J188,"AAAAAHb/f4I=")</f>
        <v>#VALUE!</v>
      </c>
      <c r="EB29" t="e">
        <f>AND(Plants!K188,"AAAAAHb/f4M=")</f>
        <v>#VALUE!</v>
      </c>
      <c r="EC29" t="e">
        <f>AND(Plants!L188,"AAAAAHb/f4Q=")</f>
        <v>#VALUE!</v>
      </c>
      <c r="ED29" t="e">
        <f>AND(Plants!M188,"AAAAAHb/f4U=")</f>
        <v>#VALUE!</v>
      </c>
      <c r="EE29" t="e">
        <f>AND(Plants!N188,"AAAAAHb/f4Y=")</f>
        <v>#VALUE!</v>
      </c>
      <c r="EF29" t="e">
        <f>AND(Plants!O188,"AAAAAHb/f4c=")</f>
        <v>#VALUE!</v>
      </c>
      <c r="EG29" t="e">
        <f>AND(Plants!P188,"AAAAAHb/f4g=")</f>
        <v>#VALUE!</v>
      </c>
      <c r="EH29" t="e">
        <f>AND(Plants!Q188,"AAAAAHb/f4k=")</f>
        <v>#VALUE!</v>
      </c>
      <c r="EI29">
        <f>IF(Plants!189:189,"AAAAAHb/f4o=",0)</f>
        <v>0</v>
      </c>
      <c r="EJ29" t="e">
        <f>AND(Plants!A189,"AAAAAHb/f4s=")</f>
        <v>#VALUE!</v>
      </c>
      <c r="EK29" t="e">
        <f>AND(Plants!B189,"AAAAAHb/f4w=")</f>
        <v>#VALUE!</v>
      </c>
      <c r="EL29" t="e">
        <f>AND(Plants!C189,"AAAAAHb/f40=")</f>
        <v>#VALUE!</v>
      </c>
      <c r="EM29" t="e">
        <f>AND(Plants!D189,"AAAAAHb/f44=")</f>
        <v>#VALUE!</v>
      </c>
      <c r="EN29" t="e">
        <f>AND(Plants!E189,"AAAAAHb/f48=")</f>
        <v>#VALUE!</v>
      </c>
      <c r="EO29" t="e">
        <f>AND(Plants!F189,"AAAAAHb/f5A=")</f>
        <v>#VALUE!</v>
      </c>
      <c r="EP29" t="e">
        <f>AND(Plants!G189,"AAAAAHb/f5E=")</f>
        <v>#VALUE!</v>
      </c>
      <c r="EQ29" t="e">
        <f>AND(Plants!H189,"AAAAAHb/f5I=")</f>
        <v>#VALUE!</v>
      </c>
      <c r="ER29" t="e">
        <f>AND(Plants!I189,"AAAAAHb/f5M=")</f>
        <v>#VALUE!</v>
      </c>
      <c r="ES29" t="e">
        <f>AND(Plants!J189,"AAAAAHb/f5Q=")</f>
        <v>#VALUE!</v>
      </c>
      <c r="ET29" t="e">
        <f>AND(Plants!K189,"AAAAAHb/f5U=")</f>
        <v>#VALUE!</v>
      </c>
      <c r="EU29" t="e">
        <f>AND(Plants!L189,"AAAAAHb/f5Y=")</f>
        <v>#VALUE!</v>
      </c>
      <c r="EV29" t="e">
        <f>AND(Plants!M189,"AAAAAHb/f5c=")</f>
        <v>#VALUE!</v>
      </c>
      <c r="EW29" t="e">
        <f>AND(Plants!N189,"AAAAAHb/f5g=")</f>
        <v>#VALUE!</v>
      </c>
      <c r="EX29" t="e">
        <f>AND(Plants!O189,"AAAAAHb/f5k=")</f>
        <v>#VALUE!</v>
      </c>
      <c r="EY29" t="e">
        <f>AND(Plants!P189,"AAAAAHb/f5o=")</f>
        <v>#VALUE!</v>
      </c>
      <c r="EZ29" t="e">
        <f>AND(Plants!Q189,"AAAAAHb/f5s=")</f>
        <v>#VALUE!</v>
      </c>
      <c r="FA29">
        <f>IF(Plants!190:190,"AAAAAHb/f5w=",0)</f>
        <v>0</v>
      </c>
      <c r="FB29" t="e">
        <f>AND(Plants!A190,"AAAAAHb/f50=")</f>
        <v>#VALUE!</v>
      </c>
      <c r="FC29" t="e">
        <f>AND(Plants!B190,"AAAAAHb/f54=")</f>
        <v>#VALUE!</v>
      </c>
      <c r="FD29" t="e">
        <f>AND(Plants!C190,"AAAAAHb/f58=")</f>
        <v>#VALUE!</v>
      </c>
      <c r="FE29" t="e">
        <f>AND(Plants!D190,"AAAAAHb/f6A=")</f>
        <v>#VALUE!</v>
      </c>
      <c r="FF29" t="e">
        <f>AND(Plants!E190,"AAAAAHb/f6E=")</f>
        <v>#VALUE!</v>
      </c>
      <c r="FG29" t="e">
        <f>AND(Plants!F190,"AAAAAHb/f6I=")</f>
        <v>#VALUE!</v>
      </c>
      <c r="FH29" t="e">
        <f>AND(Plants!G190,"AAAAAHb/f6M=")</f>
        <v>#VALUE!</v>
      </c>
      <c r="FI29" t="e">
        <f>AND(Plants!H190,"AAAAAHb/f6Q=")</f>
        <v>#VALUE!</v>
      </c>
      <c r="FJ29" t="e">
        <f>AND(Plants!I190,"AAAAAHb/f6U=")</f>
        <v>#VALUE!</v>
      </c>
      <c r="FK29" t="e">
        <f>AND(Plants!J190,"AAAAAHb/f6Y=")</f>
        <v>#VALUE!</v>
      </c>
      <c r="FL29" t="e">
        <f>AND(Plants!K190,"AAAAAHb/f6c=")</f>
        <v>#VALUE!</v>
      </c>
      <c r="FM29" t="e">
        <f>AND(Plants!L190,"AAAAAHb/f6g=")</f>
        <v>#VALUE!</v>
      </c>
      <c r="FN29" t="e">
        <f>AND(Plants!M190,"AAAAAHb/f6k=")</f>
        <v>#VALUE!</v>
      </c>
      <c r="FO29" t="e">
        <f>AND(Plants!N190,"AAAAAHb/f6o=")</f>
        <v>#VALUE!</v>
      </c>
      <c r="FP29" t="e">
        <f>AND(Plants!O190,"AAAAAHb/f6s=")</f>
        <v>#VALUE!</v>
      </c>
      <c r="FQ29" t="e">
        <f>AND(Plants!P190,"AAAAAHb/f6w=")</f>
        <v>#VALUE!</v>
      </c>
      <c r="FR29" t="e">
        <f>AND(Plants!Q190,"AAAAAHb/f60=")</f>
        <v>#VALUE!</v>
      </c>
      <c r="FS29">
        <f>IF(Plants!191:191,"AAAAAHb/f64=",0)</f>
        <v>0</v>
      </c>
      <c r="FT29" t="e">
        <f>AND(Plants!A191,"AAAAAHb/f68=")</f>
        <v>#VALUE!</v>
      </c>
      <c r="FU29" t="e">
        <f>AND(Plants!B191,"AAAAAHb/f7A=")</f>
        <v>#VALUE!</v>
      </c>
      <c r="FV29" t="e">
        <f>AND(Plants!C191,"AAAAAHb/f7E=")</f>
        <v>#VALUE!</v>
      </c>
      <c r="FW29" t="e">
        <f>AND(Plants!D191,"AAAAAHb/f7I=")</f>
        <v>#VALUE!</v>
      </c>
      <c r="FX29" t="e">
        <f>AND(Plants!E191,"AAAAAHb/f7M=")</f>
        <v>#VALUE!</v>
      </c>
      <c r="FY29" t="e">
        <f>AND(Plants!F191,"AAAAAHb/f7Q=")</f>
        <v>#VALUE!</v>
      </c>
      <c r="FZ29" t="e">
        <f>AND(Plants!G191,"AAAAAHb/f7U=")</f>
        <v>#VALUE!</v>
      </c>
      <c r="GA29" t="e">
        <f>AND(Plants!H191,"AAAAAHb/f7Y=")</f>
        <v>#VALUE!</v>
      </c>
      <c r="GB29" t="e">
        <f>AND(Plants!I191,"AAAAAHb/f7c=")</f>
        <v>#VALUE!</v>
      </c>
      <c r="GC29" t="e">
        <f>AND(Plants!J191,"AAAAAHb/f7g=")</f>
        <v>#VALUE!</v>
      </c>
      <c r="GD29" t="e">
        <f>AND(Plants!K191,"AAAAAHb/f7k=")</f>
        <v>#VALUE!</v>
      </c>
      <c r="GE29" t="e">
        <f>AND(Plants!L191,"AAAAAHb/f7o=")</f>
        <v>#VALUE!</v>
      </c>
      <c r="GF29" t="e">
        <f>AND(Plants!M191,"AAAAAHb/f7s=")</f>
        <v>#VALUE!</v>
      </c>
      <c r="GG29" t="e">
        <f>AND(Plants!N191,"AAAAAHb/f7w=")</f>
        <v>#VALUE!</v>
      </c>
      <c r="GH29" t="e">
        <f>AND(Plants!O191,"AAAAAHb/f70=")</f>
        <v>#VALUE!</v>
      </c>
      <c r="GI29" t="e">
        <f>AND(Plants!P191,"AAAAAHb/f74=")</f>
        <v>#VALUE!</v>
      </c>
      <c r="GJ29" t="e">
        <f>AND(Plants!Q191,"AAAAAHb/f78=")</f>
        <v>#VALUE!</v>
      </c>
      <c r="GK29">
        <f>IF(Plants!192:192,"AAAAAHb/f8A=",0)</f>
        <v>0</v>
      </c>
      <c r="GL29" t="e">
        <f>AND(Plants!A192,"AAAAAHb/f8E=")</f>
        <v>#VALUE!</v>
      </c>
      <c r="GM29" t="e">
        <f>AND(Plants!B192,"AAAAAHb/f8I=")</f>
        <v>#VALUE!</v>
      </c>
      <c r="GN29" t="e">
        <f>AND(Plants!C192,"AAAAAHb/f8M=")</f>
        <v>#VALUE!</v>
      </c>
      <c r="GO29" t="e">
        <f>AND(Plants!D192,"AAAAAHb/f8Q=")</f>
        <v>#VALUE!</v>
      </c>
      <c r="GP29" t="e">
        <f>AND(Plants!E192,"AAAAAHb/f8U=")</f>
        <v>#VALUE!</v>
      </c>
      <c r="GQ29" t="e">
        <f>AND(Plants!F192,"AAAAAHb/f8Y=")</f>
        <v>#VALUE!</v>
      </c>
      <c r="GR29" t="e">
        <f>AND(Plants!G192,"AAAAAHb/f8c=")</f>
        <v>#VALUE!</v>
      </c>
      <c r="GS29" t="e">
        <f>AND(Plants!H192,"AAAAAHb/f8g=")</f>
        <v>#VALUE!</v>
      </c>
      <c r="GT29" t="e">
        <f>AND(Plants!I192,"AAAAAHb/f8k=")</f>
        <v>#VALUE!</v>
      </c>
      <c r="GU29" t="e">
        <f>AND(Plants!J192,"AAAAAHb/f8o=")</f>
        <v>#VALUE!</v>
      </c>
      <c r="GV29" t="e">
        <f>AND(Plants!K192,"AAAAAHb/f8s=")</f>
        <v>#VALUE!</v>
      </c>
      <c r="GW29" t="e">
        <f>AND(Plants!L192,"AAAAAHb/f8w=")</f>
        <v>#VALUE!</v>
      </c>
      <c r="GX29" t="e">
        <f>AND(Plants!M192,"AAAAAHb/f80=")</f>
        <v>#VALUE!</v>
      </c>
      <c r="GY29" t="e">
        <f>AND(Plants!N192,"AAAAAHb/f84=")</f>
        <v>#VALUE!</v>
      </c>
      <c r="GZ29" t="e">
        <f>AND(Plants!O192,"AAAAAHb/f88=")</f>
        <v>#VALUE!</v>
      </c>
      <c r="HA29" t="e">
        <f>AND(Plants!P192,"AAAAAHb/f9A=")</f>
        <v>#VALUE!</v>
      </c>
      <c r="HB29" t="e">
        <f>AND(Plants!Q192,"AAAAAHb/f9E=")</f>
        <v>#VALUE!</v>
      </c>
      <c r="HC29">
        <f>IF(Plants!193:193,"AAAAAHb/f9I=",0)</f>
        <v>0</v>
      </c>
      <c r="HD29" t="e">
        <f>AND(Plants!A193,"AAAAAHb/f9M=")</f>
        <v>#VALUE!</v>
      </c>
      <c r="HE29" t="e">
        <f>AND(Plants!B193,"AAAAAHb/f9Q=")</f>
        <v>#VALUE!</v>
      </c>
      <c r="HF29" t="e">
        <f>AND(Plants!C193,"AAAAAHb/f9U=")</f>
        <v>#VALUE!</v>
      </c>
      <c r="HG29" t="e">
        <f>AND(Plants!D193,"AAAAAHb/f9Y=")</f>
        <v>#VALUE!</v>
      </c>
      <c r="HH29" t="e">
        <f>AND(Plants!E193,"AAAAAHb/f9c=")</f>
        <v>#VALUE!</v>
      </c>
      <c r="HI29" t="e">
        <f>AND(Plants!F193,"AAAAAHb/f9g=")</f>
        <v>#VALUE!</v>
      </c>
      <c r="HJ29" t="e">
        <f>AND(Plants!G193,"AAAAAHb/f9k=")</f>
        <v>#VALUE!</v>
      </c>
      <c r="HK29" t="e">
        <f>AND(Plants!H193,"AAAAAHb/f9o=")</f>
        <v>#VALUE!</v>
      </c>
      <c r="HL29" t="e">
        <f>AND(Plants!I193,"AAAAAHb/f9s=")</f>
        <v>#VALUE!</v>
      </c>
      <c r="HM29" t="e">
        <f>AND(Plants!J193,"AAAAAHb/f9w=")</f>
        <v>#VALUE!</v>
      </c>
      <c r="HN29" t="e">
        <f>AND(Plants!K193,"AAAAAHb/f90=")</f>
        <v>#VALUE!</v>
      </c>
      <c r="HO29" t="e">
        <f>AND(Plants!L193,"AAAAAHb/f94=")</f>
        <v>#VALUE!</v>
      </c>
      <c r="HP29" t="e">
        <f>AND(Plants!M193,"AAAAAHb/f98=")</f>
        <v>#VALUE!</v>
      </c>
      <c r="HQ29" t="e">
        <f>AND(Plants!N193,"AAAAAHb/f+A=")</f>
        <v>#VALUE!</v>
      </c>
      <c r="HR29" t="e">
        <f>AND(Plants!O193,"AAAAAHb/f+E=")</f>
        <v>#VALUE!</v>
      </c>
      <c r="HS29" t="e">
        <f>AND(Plants!P193,"AAAAAHb/f+I=")</f>
        <v>#VALUE!</v>
      </c>
      <c r="HT29" t="e">
        <f>AND(Plants!Q193,"AAAAAHb/f+M=")</f>
        <v>#VALUE!</v>
      </c>
      <c r="HU29">
        <f>IF(Plants!194:194,"AAAAAHb/f+Q=",0)</f>
        <v>0</v>
      </c>
      <c r="HV29" t="e">
        <f>AND(Plants!A194,"AAAAAHb/f+U=")</f>
        <v>#VALUE!</v>
      </c>
      <c r="HW29" t="e">
        <f>AND(Plants!B194,"AAAAAHb/f+Y=")</f>
        <v>#VALUE!</v>
      </c>
      <c r="HX29" t="e">
        <f>AND(Plants!C194,"AAAAAHb/f+c=")</f>
        <v>#VALUE!</v>
      </c>
      <c r="HY29" t="e">
        <f>AND(Plants!D194,"AAAAAHb/f+g=")</f>
        <v>#VALUE!</v>
      </c>
      <c r="HZ29" t="e">
        <f>AND(Plants!E194,"AAAAAHb/f+k=")</f>
        <v>#VALUE!</v>
      </c>
      <c r="IA29" t="e">
        <f>AND(Plants!F194,"AAAAAHb/f+o=")</f>
        <v>#VALUE!</v>
      </c>
      <c r="IB29" t="e">
        <f>AND(Plants!G194,"AAAAAHb/f+s=")</f>
        <v>#VALUE!</v>
      </c>
      <c r="IC29" t="e">
        <f>AND(Plants!H194,"AAAAAHb/f+w=")</f>
        <v>#VALUE!</v>
      </c>
      <c r="ID29" t="e">
        <f>AND(Plants!I194,"AAAAAHb/f+0=")</f>
        <v>#VALUE!</v>
      </c>
      <c r="IE29" t="e">
        <f>AND(Plants!J194,"AAAAAHb/f+4=")</f>
        <v>#VALUE!</v>
      </c>
      <c r="IF29" t="e">
        <f>AND(Plants!K194,"AAAAAHb/f+8=")</f>
        <v>#VALUE!</v>
      </c>
      <c r="IG29" t="e">
        <f>AND(Plants!L194,"AAAAAHb/f/A=")</f>
        <v>#VALUE!</v>
      </c>
      <c r="IH29" t="e">
        <f>AND(Plants!M194,"AAAAAHb/f/E=")</f>
        <v>#VALUE!</v>
      </c>
      <c r="II29" t="e">
        <f>AND(Plants!N194,"AAAAAHb/f/I=")</f>
        <v>#VALUE!</v>
      </c>
      <c r="IJ29" t="e">
        <f>AND(Plants!O194,"AAAAAHb/f/M=")</f>
        <v>#VALUE!</v>
      </c>
      <c r="IK29" t="e">
        <f>AND(Plants!P194,"AAAAAHb/f/Q=")</f>
        <v>#VALUE!</v>
      </c>
      <c r="IL29" t="e">
        <f>AND(Plants!Q194,"AAAAAHb/f/U=")</f>
        <v>#VALUE!</v>
      </c>
      <c r="IM29">
        <f>IF(Plants!195:195,"AAAAAHb/f/Y=",0)</f>
        <v>0</v>
      </c>
      <c r="IN29" t="e">
        <f>AND(Plants!A195,"AAAAAHb/f/c=")</f>
        <v>#VALUE!</v>
      </c>
      <c r="IO29" t="e">
        <f>AND(Plants!B195,"AAAAAHb/f/g=")</f>
        <v>#VALUE!</v>
      </c>
      <c r="IP29" t="e">
        <f>AND(Plants!C195,"AAAAAHb/f/k=")</f>
        <v>#VALUE!</v>
      </c>
      <c r="IQ29" t="e">
        <f>AND(Plants!D195,"AAAAAHb/f/o=")</f>
        <v>#VALUE!</v>
      </c>
      <c r="IR29" t="e">
        <f>AND(Plants!E195,"AAAAAHb/f/s=")</f>
        <v>#VALUE!</v>
      </c>
      <c r="IS29" t="e">
        <f>AND(Plants!F195,"AAAAAHb/f/w=")</f>
        <v>#VALUE!</v>
      </c>
      <c r="IT29" t="e">
        <f>AND(Plants!G195,"AAAAAHb/f/0=")</f>
        <v>#VALUE!</v>
      </c>
      <c r="IU29" t="e">
        <f>AND(Plants!H195,"AAAAAHb/f/4=")</f>
        <v>#VALUE!</v>
      </c>
      <c r="IV29" t="e">
        <f>AND(Plants!I195,"AAAAAHb/f/8=")</f>
        <v>#VALUE!</v>
      </c>
    </row>
    <row r="30" spans="1:256">
      <c r="A30" t="e">
        <f>AND(Plants!J195,"AAAAAH60/gA=")</f>
        <v>#VALUE!</v>
      </c>
      <c r="B30" t="e">
        <f>AND(Plants!K195,"AAAAAH60/gE=")</f>
        <v>#VALUE!</v>
      </c>
      <c r="C30" t="e">
        <f>AND(Plants!L195,"AAAAAH60/gI=")</f>
        <v>#VALUE!</v>
      </c>
      <c r="D30" t="e">
        <f>AND(Plants!M195,"AAAAAH60/gM=")</f>
        <v>#VALUE!</v>
      </c>
      <c r="E30" t="e">
        <f>AND(Plants!N195,"AAAAAH60/gQ=")</f>
        <v>#VALUE!</v>
      </c>
      <c r="F30" t="e">
        <f>AND(Plants!O195,"AAAAAH60/gU=")</f>
        <v>#VALUE!</v>
      </c>
      <c r="G30" t="e">
        <f>AND(Plants!P195,"AAAAAH60/gY=")</f>
        <v>#VALUE!</v>
      </c>
      <c r="H30" t="e">
        <f>AND(Plants!Q195,"AAAAAH60/gc=")</f>
        <v>#VALUE!</v>
      </c>
      <c r="I30">
        <f>IF(Plants!196:196,"AAAAAH60/gg=",0)</f>
        <v>0</v>
      </c>
      <c r="J30" t="e">
        <f>AND(Plants!A196,"AAAAAH60/gk=")</f>
        <v>#VALUE!</v>
      </c>
      <c r="K30" t="e">
        <f>AND(Plants!B196,"AAAAAH60/go=")</f>
        <v>#VALUE!</v>
      </c>
      <c r="L30" t="e">
        <f>AND(Plants!C196,"AAAAAH60/gs=")</f>
        <v>#VALUE!</v>
      </c>
      <c r="M30" t="e">
        <f>AND(Plants!D196,"AAAAAH60/gw=")</f>
        <v>#VALUE!</v>
      </c>
      <c r="N30" t="e">
        <f>AND(Plants!E196,"AAAAAH60/g0=")</f>
        <v>#VALUE!</v>
      </c>
      <c r="O30" t="e">
        <f>AND(Plants!F196,"AAAAAH60/g4=")</f>
        <v>#VALUE!</v>
      </c>
      <c r="P30" t="e">
        <f>AND(Plants!G196,"AAAAAH60/g8=")</f>
        <v>#VALUE!</v>
      </c>
      <c r="Q30" t="e">
        <f>AND(Plants!H196,"AAAAAH60/hA=")</f>
        <v>#VALUE!</v>
      </c>
      <c r="R30" t="e">
        <f>AND(Plants!I196,"AAAAAH60/hE=")</f>
        <v>#VALUE!</v>
      </c>
      <c r="S30" t="e">
        <f>AND(Plants!J196,"AAAAAH60/hI=")</f>
        <v>#VALUE!</v>
      </c>
      <c r="T30" t="e">
        <f>AND(Plants!K196,"AAAAAH60/hM=")</f>
        <v>#VALUE!</v>
      </c>
      <c r="U30" t="e">
        <f>AND(Plants!L196,"AAAAAH60/hQ=")</f>
        <v>#VALUE!</v>
      </c>
      <c r="V30" t="e">
        <f>AND(Plants!M196,"AAAAAH60/hU=")</f>
        <v>#VALUE!</v>
      </c>
      <c r="W30" t="e">
        <f>AND(Plants!N196,"AAAAAH60/hY=")</f>
        <v>#VALUE!</v>
      </c>
      <c r="X30" t="e">
        <f>AND(Plants!O196,"AAAAAH60/hc=")</f>
        <v>#VALUE!</v>
      </c>
      <c r="Y30" t="e">
        <f>AND(Plants!P196,"AAAAAH60/hg=")</f>
        <v>#VALUE!</v>
      </c>
      <c r="Z30" t="e">
        <f>AND(Plants!Q196,"AAAAAH60/hk=")</f>
        <v>#VALUE!</v>
      </c>
      <c r="AA30">
        <f>IF(Plants!197:197,"AAAAAH60/ho=",0)</f>
        <v>0</v>
      </c>
      <c r="AB30" t="e">
        <f>AND(Plants!A197,"AAAAAH60/hs=")</f>
        <v>#VALUE!</v>
      </c>
      <c r="AC30" t="e">
        <f>AND(Plants!B197,"AAAAAH60/hw=")</f>
        <v>#VALUE!</v>
      </c>
      <c r="AD30" t="e">
        <f>AND(Plants!C197,"AAAAAH60/h0=")</f>
        <v>#VALUE!</v>
      </c>
      <c r="AE30" t="e">
        <f>AND(Plants!D197,"AAAAAH60/h4=")</f>
        <v>#VALUE!</v>
      </c>
      <c r="AF30" t="e">
        <f>AND(Plants!E197,"AAAAAH60/h8=")</f>
        <v>#VALUE!</v>
      </c>
      <c r="AG30" t="e">
        <f>AND(Plants!F197,"AAAAAH60/iA=")</f>
        <v>#VALUE!</v>
      </c>
      <c r="AH30" t="e">
        <f>AND(Plants!G197,"AAAAAH60/iE=")</f>
        <v>#VALUE!</v>
      </c>
      <c r="AI30" t="e">
        <f>AND(Plants!H197,"AAAAAH60/iI=")</f>
        <v>#VALUE!</v>
      </c>
      <c r="AJ30" t="e">
        <f>AND(Plants!I197,"AAAAAH60/iM=")</f>
        <v>#VALUE!</v>
      </c>
      <c r="AK30" t="e">
        <f>AND(Plants!J197,"AAAAAH60/iQ=")</f>
        <v>#VALUE!</v>
      </c>
      <c r="AL30" t="e">
        <f>AND(Plants!K197,"AAAAAH60/iU=")</f>
        <v>#VALUE!</v>
      </c>
      <c r="AM30" t="e">
        <f>AND(Plants!L197,"AAAAAH60/iY=")</f>
        <v>#VALUE!</v>
      </c>
      <c r="AN30" t="e">
        <f>AND(Plants!M197,"AAAAAH60/ic=")</f>
        <v>#VALUE!</v>
      </c>
      <c r="AO30" t="e">
        <f>AND(Plants!N197,"AAAAAH60/ig=")</f>
        <v>#VALUE!</v>
      </c>
      <c r="AP30" t="e">
        <f>AND(Plants!O197,"AAAAAH60/ik=")</f>
        <v>#VALUE!</v>
      </c>
      <c r="AQ30" t="e">
        <f>AND(Plants!P197,"AAAAAH60/io=")</f>
        <v>#VALUE!</v>
      </c>
      <c r="AR30" t="e">
        <f>AND(Plants!Q197,"AAAAAH60/is=")</f>
        <v>#VALUE!</v>
      </c>
      <c r="AS30">
        <f>IF(Plants!198:198,"AAAAAH60/iw=",0)</f>
        <v>0</v>
      </c>
      <c r="AT30" t="e">
        <f>AND(Plants!A198,"AAAAAH60/i0=")</f>
        <v>#VALUE!</v>
      </c>
      <c r="AU30" t="e">
        <f>AND(Plants!B198,"AAAAAH60/i4=")</f>
        <v>#VALUE!</v>
      </c>
      <c r="AV30" t="e">
        <f>AND(Plants!C198,"AAAAAH60/i8=")</f>
        <v>#VALUE!</v>
      </c>
      <c r="AW30" t="e">
        <f>AND(Plants!D198,"AAAAAH60/jA=")</f>
        <v>#VALUE!</v>
      </c>
      <c r="AX30" t="e">
        <f>AND(Plants!E198,"AAAAAH60/jE=")</f>
        <v>#VALUE!</v>
      </c>
      <c r="AY30" t="e">
        <f>AND(Plants!F198,"AAAAAH60/jI=")</f>
        <v>#VALUE!</v>
      </c>
      <c r="AZ30" t="e">
        <f>AND(Plants!G198,"AAAAAH60/jM=")</f>
        <v>#VALUE!</v>
      </c>
      <c r="BA30" t="e">
        <f>AND(Plants!H198,"AAAAAH60/jQ=")</f>
        <v>#VALUE!</v>
      </c>
      <c r="BB30" t="e">
        <f>AND(Plants!I198,"AAAAAH60/jU=")</f>
        <v>#VALUE!</v>
      </c>
      <c r="BC30" t="e">
        <f>AND(Plants!J198,"AAAAAH60/jY=")</f>
        <v>#VALUE!</v>
      </c>
      <c r="BD30" t="e">
        <f>AND(Plants!K198,"AAAAAH60/jc=")</f>
        <v>#VALUE!</v>
      </c>
      <c r="BE30" t="e">
        <f>AND(Plants!L198,"AAAAAH60/jg=")</f>
        <v>#VALUE!</v>
      </c>
      <c r="BF30" t="e">
        <f>AND(Plants!M198,"AAAAAH60/jk=")</f>
        <v>#VALUE!</v>
      </c>
      <c r="BG30" t="e">
        <f>AND(Plants!N198,"AAAAAH60/jo=")</f>
        <v>#VALUE!</v>
      </c>
      <c r="BH30" t="e">
        <f>AND(Plants!O198,"AAAAAH60/js=")</f>
        <v>#VALUE!</v>
      </c>
      <c r="BI30" t="e">
        <f>AND(Plants!P198,"AAAAAH60/jw=")</f>
        <v>#VALUE!</v>
      </c>
      <c r="BJ30" t="e">
        <f>AND(Plants!Q198,"AAAAAH60/j0=")</f>
        <v>#VALUE!</v>
      </c>
      <c r="BK30">
        <f>IF(Plants!199:199,"AAAAAH60/j4=",0)</f>
        <v>0</v>
      </c>
      <c r="BL30" t="e">
        <f>AND(Plants!A199,"AAAAAH60/j8=")</f>
        <v>#VALUE!</v>
      </c>
      <c r="BM30" t="e">
        <f>AND(Plants!B199,"AAAAAH60/kA=")</f>
        <v>#VALUE!</v>
      </c>
      <c r="BN30" t="e">
        <f>AND(Plants!C199,"AAAAAH60/kE=")</f>
        <v>#VALUE!</v>
      </c>
      <c r="BO30" t="e">
        <f>AND(Plants!D199,"AAAAAH60/kI=")</f>
        <v>#VALUE!</v>
      </c>
      <c r="BP30" t="e">
        <f>AND(Plants!E199,"AAAAAH60/kM=")</f>
        <v>#VALUE!</v>
      </c>
      <c r="BQ30" t="e">
        <f>AND(Plants!F199,"AAAAAH60/kQ=")</f>
        <v>#VALUE!</v>
      </c>
      <c r="BR30" t="e">
        <f>AND(Plants!G199,"AAAAAH60/kU=")</f>
        <v>#VALUE!</v>
      </c>
      <c r="BS30" t="e">
        <f>AND(Plants!H199,"AAAAAH60/kY=")</f>
        <v>#VALUE!</v>
      </c>
      <c r="BT30" t="e">
        <f>AND(Plants!I199,"AAAAAH60/kc=")</f>
        <v>#VALUE!</v>
      </c>
      <c r="BU30" t="e">
        <f>AND(Plants!J199,"AAAAAH60/kg=")</f>
        <v>#VALUE!</v>
      </c>
      <c r="BV30" t="e">
        <f>AND(Plants!K199,"AAAAAH60/kk=")</f>
        <v>#VALUE!</v>
      </c>
      <c r="BW30" t="e">
        <f>AND(Plants!L199,"AAAAAH60/ko=")</f>
        <v>#VALUE!</v>
      </c>
      <c r="BX30" t="e">
        <f>AND(Plants!M199,"AAAAAH60/ks=")</f>
        <v>#VALUE!</v>
      </c>
      <c r="BY30" t="e">
        <f>AND(Plants!N199,"AAAAAH60/kw=")</f>
        <v>#VALUE!</v>
      </c>
      <c r="BZ30" t="e">
        <f>AND(Plants!O199,"AAAAAH60/k0=")</f>
        <v>#VALUE!</v>
      </c>
      <c r="CA30" t="e">
        <f>AND(Plants!P199,"AAAAAH60/k4=")</f>
        <v>#VALUE!</v>
      </c>
      <c r="CB30" t="e">
        <f>AND(Plants!Q199,"AAAAAH60/k8=")</f>
        <v>#VALUE!</v>
      </c>
      <c r="CC30">
        <f>IF(Plants!200:200,"AAAAAH60/lA=",0)</f>
        <v>0</v>
      </c>
      <c r="CD30" t="e">
        <f>AND(Plants!A200,"AAAAAH60/lE=")</f>
        <v>#VALUE!</v>
      </c>
      <c r="CE30" t="e">
        <f>AND(Plants!B200,"AAAAAH60/lI=")</f>
        <v>#VALUE!</v>
      </c>
      <c r="CF30" t="e">
        <f>AND(Plants!C200,"AAAAAH60/lM=")</f>
        <v>#VALUE!</v>
      </c>
      <c r="CG30" t="e">
        <f>AND(Plants!D200,"AAAAAH60/lQ=")</f>
        <v>#VALUE!</v>
      </c>
      <c r="CH30" t="e">
        <f>AND(Plants!E200,"AAAAAH60/lU=")</f>
        <v>#VALUE!</v>
      </c>
      <c r="CI30" t="e">
        <f>AND(Plants!F200,"AAAAAH60/lY=")</f>
        <v>#VALUE!</v>
      </c>
      <c r="CJ30" t="e">
        <f>AND(Plants!G200,"AAAAAH60/lc=")</f>
        <v>#VALUE!</v>
      </c>
      <c r="CK30" t="e">
        <f>AND(Plants!H200,"AAAAAH60/lg=")</f>
        <v>#VALUE!</v>
      </c>
      <c r="CL30" t="e">
        <f>AND(Plants!I200,"AAAAAH60/lk=")</f>
        <v>#VALUE!</v>
      </c>
      <c r="CM30" t="e">
        <f>AND(Plants!J200,"AAAAAH60/lo=")</f>
        <v>#VALUE!</v>
      </c>
      <c r="CN30" t="e">
        <f>AND(Plants!K200,"AAAAAH60/ls=")</f>
        <v>#VALUE!</v>
      </c>
      <c r="CO30" t="e">
        <f>AND(Plants!L200,"AAAAAH60/lw=")</f>
        <v>#VALUE!</v>
      </c>
      <c r="CP30" t="e">
        <f>AND(Plants!M200,"AAAAAH60/l0=")</f>
        <v>#VALUE!</v>
      </c>
      <c r="CQ30" t="e">
        <f>AND(Plants!N200,"AAAAAH60/l4=")</f>
        <v>#VALUE!</v>
      </c>
      <c r="CR30" t="e">
        <f>AND(Plants!O200,"AAAAAH60/l8=")</f>
        <v>#VALUE!</v>
      </c>
      <c r="CS30" t="e">
        <f>AND(Plants!P200,"AAAAAH60/mA=")</f>
        <v>#VALUE!</v>
      </c>
      <c r="CT30" t="e">
        <f>AND(Plants!Q200,"AAAAAH60/mE=")</f>
        <v>#VALUE!</v>
      </c>
      <c r="CU30">
        <f>IF(Plants!201:201,"AAAAAH60/mI=",0)</f>
        <v>0</v>
      </c>
      <c r="CV30" t="e">
        <f>AND(Plants!A201,"AAAAAH60/mM=")</f>
        <v>#VALUE!</v>
      </c>
      <c r="CW30" t="e">
        <f>AND(Plants!B201,"AAAAAH60/mQ=")</f>
        <v>#VALUE!</v>
      </c>
      <c r="CX30" t="e">
        <f>AND(Plants!C201,"AAAAAH60/mU=")</f>
        <v>#VALUE!</v>
      </c>
      <c r="CY30" t="e">
        <f>AND(Plants!D201,"AAAAAH60/mY=")</f>
        <v>#VALUE!</v>
      </c>
      <c r="CZ30" t="e">
        <f>AND(Plants!E201,"AAAAAH60/mc=")</f>
        <v>#VALUE!</v>
      </c>
      <c r="DA30" t="e">
        <f>AND(Plants!F201,"AAAAAH60/mg=")</f>
        <v>#VALUE!</v>
      </c>
      <c r="DB30" t="e">
        <f>AND(Plants!G201,"AAAAAH60/mk=")</f>
        <v>#VALUE!</v>
      </c>
      <c r="DC30" t="e">
        <f>AND(Plants!H201,"AAAAAH60/mo=")</f>
        <v>#VALUE!</v>
      </c>
      <c r="DD30" t="e">
        <f>AND(Plants!I201,"AAAAAH60/ms=")</f>
        <v>#VALUE!</v>
      </c>
      <c r="DE30" t="e">
        <f>AND(Plants!J201,"AAAAAH60/mw=")</f>
        <v>#VALUE!</v>
      </c>
      <c r="DF30" t="e">
        <f>AND(Plants!K201,"AAAAAH60/m0=")</f>
        <v>#VALUE!</v>
      </c>
      <c r="DG30" t="e">
        <f>AND(Plants!L201,"AAAAAH60/m4=")</f>
        <v>#VALUE!</v>
      </c>
      <c r="DH30" t="e">
        <f>AND(Plants!M201,"AAAAAH60/m8=")</f>
        <v>#VALUE!</v>
      </c>
      <c r="DI30" t="e">
        <f>AND(Plants!N201,"AAAAAH60/nA=")</f>
        <v>#VALUE!</v>
      </c>
      <c r="DJ30" t="e">
        <f>AND(Plants!O201,"AAAAAH60/nE=")</f>
        <v>#VALUE!</v>
      </c>
      <c r="DK30" t="e">
        <f>AND(Plants!P201,"AAAAAH60/nI=")</f>
        <v>#VALUE!</v>
      </c>
      <c r="DL30" t="e">
        <f>AND(Plants!Q201,"AAAAAH60/nM=")</f>
        <v>#VALUE!</v>
      </c>
      <c r="DM30">
        <f>IF(Plants!202:202,"AAAAAH60/nQ=",0)</f>
        <v>0</v>
      </c>
      <c r="DN30" t="e">
        <f>AND(Plants!A202,"AAAAAH60/nU=")</f>
        <v>#VALUE!</v>
      </c>
      <c r="DO30" t="e">
        <f>AND(Plants!B202,"AAAAAH60/nY=")</f>
        <v>#VALUE!</v>
      </c>
      <c r="DP30" t="e">
        <f>AND(Plants!C202,"AAAAAH60/nc=")</f>
        <v>#VALUE!</v>
      </c>
      <c r="DQ30" t="e">
        <f>AND(Plants!D202,"AAAAAH60/ng=")</f>
        <v>#VALUE!</v>
      </c>
      <c r="DR30" t="e">
        <f>AND(Plants!E202,"AAAAAH60/nk=")</f>
        <v>#VALUE!</v>
      </c>
      <c r="DS30" t="e">
        <f>AND(Plants!F202,"AAAAAH60/no=")</f>
        <v>#VALUE!</v>
      </c>
      <c r="DT30" t="e">
        <f>AND(Plants!G202,"AAAAAH60/ns=")</f>
        <v>#VALUE!</v>
      </c>
      <c r="DU30" t="e">
        <f>AND(Plants!H202,"AAAAAH60/nw=")</f>
        <v>#VALUE!</v>
      </c>
      <c r="DV30" t="e">
        <f>AND(Plants!I202,"AAAAAH60/n0=")</f>
        <v>#VALUE!</v>
      </c>
      <c r="DW30" t="e">
        <f>AND(Plants!J202,"AAAAAH60/n4=")</f>
        <v>#VALUE!</v>
      </c>
      <c r="DX30" t="e">
        <f>AND(Plants!K202,"AAAAAH60/n8=")</f>
        <v>#VALUE!</v>
      </c>
      <c r="DY30" t="e">
        <f>AND(Plants!L202,"AAAAAH60/oA=")</f>
        <v>#VALUE!</v>
      </c>
      <c r="DZ30" t="e">
        <f>AND(Plants!M202,"AAAAAH60/oE=")</f>
        <v>#VALUE!</v>
      </c>
      <c r="EA30" t="e">
        <f>AND(Plants!N202,"AAAAAH60/oI=")</f>
        <v>#VALUE!</v>
      </c>
      <c r="EB30" t="e">
        <f>AND(Plants!O202,"AAAAAH60/oM=")</f>
        <v>#VALUE!</v>
      </c>
      <c r="EC30" t="e">
        <f>AND(Plants!P202,"AAAAAH60/oQ=")</f>
        <v>#VALUE!</v>
      </c>
      <c r="ED30" t="e">
        <f>AND(Plants!Q202,"AAAAAH60/oU=")</f>
        <v>#VALUE!</v>
      </c>
      <c r="EE30">
        <f>IF(Plants!203:203,"AAAAAH60/oY=",0)</f>
        <v>0</v>
      </c>
      <c r="EF30" t="e">
        <f>AND(Plants!A203,"AAAAAH60/oc=")</f>
        <v>#VALUE!</v>
      </c>
      <c r="EG30" t="e">
        <f>AND(Plants!B203,"AAAAAH60/og=")</f>
        <v>#VALUE!</v>
      </c>
      <c r="EH30" t="e">
        <f>AND(Plants!C203,"AAAAAH60/ok=")</f>
        <v>#VALUE!</v>
      </c>
      <c r="EI30" t="e">
        <f>AND(Plants!D203,"AAAAAH60/oo=")</f>
        <v>#VALUE!</v>
      </c>
      <c r="EJ30" t="e">
        <f>AND(Plants!E203,"AAAAAH60/os=")</f>
        <v>#VALUE!</v>
      </c>
      <c r="EK30" t="e">
        <f>AND(Plants!F203,"AAAAAH60/ow=")</f>
        <v>#VALUE!</v>
      </c>
      <c r="EL30" t="e">
        <f>AND(Plants!G203,"AAAAAH60/o0=")</f>
        <v>#VALUE!</v>
      </c>
      <c r="EM30" t="e">
        <f>AND(Plants!H203,"AAAAAH60/o4=")</f>
        <v>#VALUE!</v>
      </c>
      <c r="EN30" t="e">
        <f>AND(Plants!I203,"AAAAAH60/o8=")</f>
        <v>#VALUE!</v>
      </c>
      <c r="EO30" t="e">
        <f>AND(Plants!J203,"AAAAAH60/pA=")</f>
        <v>#VALUE!</v>
      </c>
      <c r="EP30" t="e">
        <f>AND(Plants!K203,"AAAAAH60/pE=")</f>
        <v>#VALUE!</v>
      </c>
      <c r="EQ30" t="e">
        <f>AND(Plants!L203,"AAAAAH60/pI=")</f>
        <v>#VALUE!</v>
      </c>
      <c r="ER30" t="e">
        <f>AND(Plants!M203,"AAAAAH60/pM=")</f>
        <v>#VALUE!</v>
      </c>
      <c r="ES30" t="e">
        <f>AND(Plants!N203,"AAAAAH60/pQ=")</f>
        <v>#VALUE!</v>
      </c>
      <c r="ET30" t="e">
        <f>AND(Plants!O203,"AAAAAH60/pU=")</f>
        <v>#VALUE!</v>
      </c>
      <c r="EU30" t="e">
        <f>AND(Plants!P203,"AAAAAH60/pY=")</f>
        <v>#VALUE!</v>
      </c>
      <c r="EV30" t="e">
        <f>AND(Plants!Q203,"AAAAAH60/pc=")</f>
        <v>#VALUE!</v>
      </c>
      <c r="EW30">
        <f>IF(Plants!204:204,"AAAAAH60/pg=",0)</f>
        <v>0</v>
      </c>
      <c r="EX30" t="e">
        <f>AND(Plants!A204,"AAAAAH60/pk=")</f>
        <v>#VALUE!</v>
      </c>
      <c r="EY30" t="e">
        <f>AND(Plants!B204,"AAAAAH60/po=")</f>
        <v>#VALUE!</v>
      </c>
      <c r="EZ30" t="e">
        <f>AND(Plants!C204,"AAAAAH60/ps=")</f>
        <v>#VALUE!</v>
      </c>
      <c r="FA30" t="e">
        <f>AND(Plants!D204,"AAAAAH60/pw=")</f>
        <v>#VALUE!</v>
      </c>
      <c r="FB30" t="e">
        <f>AND(Plants!E204,"AAAAAH60/p0=")</f>
        <v>#VALUE!</v>
      </c>
      <c r="FC30" t="e">
        <f>AND(Plants!F204,"AAAAAH60/p4=")</f>
        <v>#VALUE!</v>
      </c>
      <c r="FD30" t="e">
        <f>AND(Plants!G204,"AAAAAH60/p8=")</f>
        <v>#VALUE!</v>
      </c>
      <c r="FE30" t="e">
        <f>AND(Plants!H204,"AAAAAH60/qA=")</f>
        <v>#VALUE!</v>
      </c>
      <c r="FF30" t="e">
        <f>AND(Plants!I204,"AAAAAH60/qE=")</f>
        <v>#VALUE!</v>
      </c>
      <c r="FG30" t="e">
        <f>AND(Plants!J204,"AAAAAH60/qI=")</f>
        <v>#VALUE!</v>
      </c>
      <c r="FH30" t="e">
        <f>AND(Plants!K204,"AAAAAH60/qM=")</f>
        <v>#VALUE!</v>
      </c>
      <c r="FI30" t="e">
        <f>AND(Plants!L204,"AAAAAH60/qQ=")</f>
        <v>#VALUE!</v>
      </c>
      <c r="FJ30" t="e">
        <f>AND(Plants!M204,"AAAAAH60/qU=")</f>
        <v>#VALUE!</v>
      </c>
      <c r="FK30" t="e">
        <f>AND(Plants!N204,"AAAAAH60/qY=")</f>
        <v>#VALUE!</v>
      </c>
      <c r="FL30" t="e">
        <f>AND(Plants!O204,"AAAAAH60/qc=")</f>
        <v>#VALUE!</v>
      </c>
      <c r="FM30" t="e">
        <f>AND(Plants!P204,"AAAAAH60/qg=")</f>
        <v>#VALUE!</v>
      </c>
      <c r="FN30" t="e">
        <f>AND(Plants!Q204,"AAAAAH60/qk=")</f>
        <v>#VALUE!</v>
      </c>
      <c r="FO30">
        <f>IF(Plants!205:205,"AAAAAH60/qo=",0)</f>
        <v>0</v>
      </c>
      <c r="FP30" t="e">
        <f>AND(Plants!A205,"AAAAAH60/qs=")</f>
        <v>#VALUE!</v>
      </c>
      <c r="FQ30" t="e">
        <f>AND(Plants!B205,"AAAAAH60/qw=")</f>
        <v>#VALUE!</v>
      </c>
      <c r="FR30" t="e">
        <f>AND(Plants!C205,"AAAAAH60/q0=")</f>
        <v>#VALUE!</v>
      </c>
      <c r="FS30" t="e">
        <f>AND(Plants!D205,"AAAAAH60/q4=")</f>
        <v>#VALUE!</v>
      </c>
      <c r="FT30" t="e">
        <f>AND(Plants!E205,"AAAAAH60/q8=")</f>
        <v>#VALUE!</v>
      </c>
      <c r="FU30" t="e">
        <f>AND(Plants!F205,"AAAAAH60/rA=")</f>
        <v>#VALUE!</v>
      </c>
      <c r="FV30" t="e">
        <f>AND(Plants!G205,"AAAAAH60/rE=")</f>
        <v>#VALUE!</v>
      </c>
      <c r="FW30" t="e">
        <f>AND(Plants!H205,"AAAAAH60/rI=")</f>
        <v>#VALUE!</v>
      </c>
      <c r="FX30" t="e">
        <f>AND(Plants!I205,"AAAAAH60/rM=")</f>
        <v>#VALUE!</v>
      </c>
      <c r="FY30" t="e">
        <f>AND(Plants!J205,"AAAAAH60/rQ=")</f>
        <v>#VALUE!</v>
      </c>
      <c r="FZ30" t="e">
        <f>AND(Plants!K205,"AAAAAH60/rU=")</f>
        <v>#VALUE!</v>
      </c>
      <c r="GA30" t="e">
        <f>AND(Plants!L205,"AAAAAH60/rY=")</f>
        <v>#VALUE!</v>
      </c>
      <c r="GB30" t="e">
        <f>AND(Plants!M205,"AAAAAH60/rc=")</f>
        <v>#VALUE!</v>
      </c>
      <c r="GC30" t="e">
        <f>AND(Plants!N205,"AAAAAH60/rg=")</f>
        <v>#VALUE!</v>
      </c>
      <c r="GD30" t="e">
        <f>AND(Plants!O205,"AAAAAH60/rk=")</f>
        <v>#VALUE!</v>
      </c>
      <c r="GE30" t="e">
        <f>AND(Plants!P205,"AAAAAH60/ro=")</f>
        <v>#VALUE!</v>
      </c>
      <c r="GF30" t="e">
        <f>AND(Plants!Q205,"AAAAAH60/rs=")</f>
        <v>#VALUE!</v>
      </c>
      <c r="GG30">
        <f>IF(Plants!206:206,"AAAAAH60/rw=",0)</f>
        <v>0</v>
      </c>
      <c r="GH30" t="e">
        <f>AND(Plants!A206,"AAAAAH60/r0=")</f>
        <v>#VALUE!</v>
      </c>
      <c r="GI30" t="e">
        <f>AND(Plants!B206,"AAAAAH60/r4=")</f>
        <v>#VALUE!</v>
      </c>
      <c r="GJ30" t="e">
        <f>AND(Plants!C206,"AAAAAH60/r8=")</f>
        <v>#VALUE!</v>
      </c>
      <c r="GK30" t="e">
        <f>AND(Plants!D206,"AAAAAH60/sA=")</f>
        <v>#VALUE!</v>
      </c>
      <c r="GL30" t="e">
        <f>AND(Plants!E206,"AAAAAH60/sE=")</f>
        <v>#VALUE!</v>
      </c>
      <c r="GM30" t="e">
        <f>AND(Plants!F206,"AAAAAH60/sI=")</f>
        <v>#VALUE!</v>
      </c>
      <c r="GN30" t="e">
        <f>AND(Plants!G206,"AAAAAH60/sM=")</f>
        <v>#VALUE!</v>
      </c>
      <c r="GO30" t="e">
        <f>AND(Plants!H206,"AAAAAH60/sQ=")</f>
        <v>#VALUE!</v>
      </c>
      <c r="GP30" t="e">
        <f>AND(Plants!I206,"AAAAAH60/sU=")</f>
        <v>#VALUE!</v>
      </c>
      <c r="GQ30" t="e">
        <f>AND(Plants!J206,"AAAAAH60/sY=")</f>
        <v>#VALUE!</v>
      </c>
      <c r="GR30" t="e">
        <f>AND(Plants!K206,"AAAAAH60/sc=")</f>
        <v>#VALUE!</v>
      </c>
      <c r="GS30" t="e">
        <f>AND(Plants!L206,"AAAAAH60/sg=")</f>
        <v>#VALUE!</v>
      </c>
      <c r="GT30" t="e">
        <f>AND(Plants!M206,"AAAAAH60/sk=")</f>
        <v>#VALUE!</v>
      </c>
      <c r="GU30" t="e">
        <f>AND(Plants!N206,"AAAAAH60/so=")</f>
        <v>#VALUE!</v>
      </c>
      <c r="GV30" t="e">
        <f>AND(Plants!O206,"AAAAAH60/ss=")</f>
        <v>#VALUE!</v>
      </c>
      <c r="GW30" t="e">
        <f>AND(Plants!P206,"AAAAAH60/sw=")</f>
        <v>#VALUE!</v>
      </c>
      <c r="GX30" t="e">
        <f>AND(Plants!Q206,"AAAAAH60/s0=")</f>
        <v>#VALUE!</v>
      </c>
      <c r="GY30">
        <f>IF(Plants!207:207,"AAAAAH60/s4=",0)</f>
        <v>0</v>
      </c>
      <c r="GZ30" t="e">
        <f>AND(Plants!A207,"AAAAAH60/s8=")</f>
        <v>#VALUE!</v>
      </c>
      <c r="HA30" t="e">
        <f>AND(Plants!B207,"AAAAAH60/tA=")</f>
        <v>#VALUE!</v>
      </c>
      <c r="HB30" t="e">
        <f>AND(Plants!C207,"AAAAAH60/tE=")</f>
        <v>#VALUE!</v>
      </c>
      <c r="HC30" t="e">
        <f>AND(Plants!D207,"AAAAAH60/tI=")</f>
        <v>#VALUE!</v>
      </c>
      <c r="HD30" t="e">
        <f>AND(Plants!E207,"AAAAAH60/tM=")</f>
        <v>#VALUE!</v>
      </c>
      <c r="HE30" t="e">
        <f>AND(Plants!F207,"AAAAAH60/tQ=")</f>
        <v>#VALUE!</v>
      </c>
      <c r="HF30" t="e">
        <f>AND(Plants!G207,"AAAAAH60/tU=")</f>
        <v>#VALUE!</v>
      </c>
      <c r="HG30" t="e">
        <f>AND(Plants!H207,"AAAAAH60/tY=")</f>
        <v>#VALUE!</v>
      </c>
      <c r="HH30" t="e">
        <f>AND(Plants!I207,"AAAAAH60/tc=")</f>
        <v>#VALUE!</v>
      </c>
      <c r="HI30" t="e">
        <f>AND(Plants!J207,"AAAAAH60/tg=")</f>
        <v>#VALUE!</v>
      </c>
      <c r="HJ30" t="e">
        <f>AND(Plants!K207,"AAAAAH60/tk=")</f>
        <v>#VALUE!</v>
      </c>
      <c r="HK30" t="e">
        <f>AND(Plants!L207,"AAAAAH60/to=")</f>
        <v>#VALUE!</v>
      </c>
      <c r="HL30" t="e">
        <f>AND(Plants!M207,"AAAAAH60/ts=")</f>
        <v>#VALUE!</v>
      </c>
      <c r="HM30" t="e">
        <f>AND(Plants!N207,"AAAAAH60/tw=")</f>
        <v>#VALUE!</v>
      </c>
      <c r="HN30" t="e">
        <f>AND(Plants!O207,"AAAAAH60/t0=")</f>
        <v>#VALUE!</v>
      </c>
      <c r="HO30" t="e">
        <f>AND(Plants!P207,"AAAAAH60/t4=")</f>
        <v>#VALUE!</v>
      </c>
      <c r="HP30" t="e">
        <f>AND(Plants!Q207,"AAAAAH60/t8=")</f>
        <v>#VALUE!</v>
      </c>
      <c r="HQ30">
        <f>IF(Plants!208:208,"AAAAAH60/uA=",0)</f>
        <v>0</v>
      </c>
      <c r="HR30" t="e">
        <f>AND(Plants!A208,"AAAAAH60/uE=")</f>
        <v>#VALUE!</v>
      </c>
      <c r="HS30" t="e">
        <f>AND(Plants!B208,"AAAAAH60/uI=")</f>
        <v>#VALUE!</v>
      </c>
      <c r="HT30" t="e">
        <f>AND(Plants!C208,"AAAAAH60/uM=")</f>
        <v>#VALUE!</v>
      </c>
      <c r="HU30" t="e">
        <f>AND(Plants!D208,"AAAAAH60/uQ=")</f>
        <v>#VALUE!</v>
      </c>
      <c r="HV30" t="e">
        <f>AND(Plants!E208,"AAAAAH60/uU=")</f>
        <v>#VALUE!</v>
      </c>
      <c r="HW30" t="e">
        <f>AND(Plants!F208,"AAAAAH60/uY=")</f>
        <v>#VALUE!</v>
      </c>
      <c r="HX30" t="e">
        <f>AND(Plants!G208,"AAAAAH60/uc=")</f>
        <v>#VALUE!</v>
      </c>
      <c r="HY30" t="e">
        <f>AND(Plants!H208,"AAAAAH60/ug=")</f>
        <v>#VALUE!</v>
      </c>
      <c r="HZ30" t="e">
        <f>AND(Plants!I208,"AAAAAH60/uk=")</f>
        <v>#VALUE!</v>
      </c>
      <c r="IA30" t="e">
        <f>AND(Plants!J208,"AAAAAH60/uo=")</f>
        <v>#VALUE!</v>
      </c>
      <c r="IB30" t="e">
        <f>AND(Plants!K208,"AAAAAH60/us=")</f>
        <v>#VALUE!</v>
      </c>
      <c r="IC30" t="e">
        <f>AND(Plants!L208,"AAAAAH60/uw=")</f>
        <v>#VALUE!</v>
      </c>
      <c r="ID30" t="e">
        <f>AND(Plants!M208,"AAAAAH60/u0=")</f>
        <v>#VALUE!</v>
      </c>
      <c r="IE30" t="e">
        <f>AND(Plants!N208,"AAAAAH60/u4=")</f>
        <v>#VALUE!</v>
      </c>
      <c r="IF30" t="e">
        <f>AND(Plants!O208,"AAAAAH60/u8=")</f>
        <v>#VALUE!</v>
      </c>
      <c r="IG30" t="e">
        <f>AND(Plants!P208,"AAAAAH60/vA=")</f>
        <v>#VALUE!</v>
      </c>
      <c r="IH30" t="e">
        <f>AND(Plants!Q208,"AAAAAH60/vE=")</f>
        <v>#VALUE!</v>
      </c>
      <c r="II30">
        <f>IF(Plants!209:209,"AAAAAH60/vI=",0)</f>
        <v>0</v>
      </c>
      <c r="IJ30" t="e">
        <f>AND(Plants!A209,"AAAAAH60/vM=")</f>
        <v>#VALUE!</v>
      </c>
      <c r="IK30" t="e">
        <f>AND(Plants!B209,"AAAAAH60/vQ=")</f>
        <v>#VALUE!</v>
      </c>
      <c r="IL30" t="e">
        <f>AND(Plants!C209,"AAAAAH60/vU=")</f>
        <v>#VALUE!</v>
      </c>
      <c r="IM30" t="e">
        <f>AND(Plants!D209,"AAAAAH60/vY=")</f>
        <v>#VALUE!</v>
      </c>
      <c r="IN30" t="e">
        <f>AND(Plants!E209,"AAAAAH60/vc=")</f>
        <v>#VALUE!</v>
      </c>
      <c r="IO30" t="e">
        <f>AND(Plants!F209,"AAAAAH60/vg=")</f>
        <v>#VALUE!</v>
      </c>
      <c r="IP30" t="e">
        <f>AND(Plants!G209,"AAAAAH60/vk=")</f>
        <v>#VALUE!</v>
      </c>
      <c r="IQ30" t="e">
        <f>AND(Plants!H209,"AAAAAH60/vo=")</f>
        <v>#VALUE!</v>
      </c>
      <c r="IR30" t="e">
        <f>AND(Plants!I209,"AAAAAH60/vs=")</f>
        <v>#VALUE!</v>
      </c>
      <c r="IS30" t="e">
        <f>AND(Plants!J209,"AAAAAH60/vw=")</f>
        <v>#VALUE!</v>
      </c>
      <c r="IT30" t="e">
        <f>AND(Plants!K209,"AAAAAH60/v0=")</f>
        <v>#VALUE!</v>
      </c>
      <c r="IU30" t="e">
        <f>AND(Plants!L209,"AAAAAH60/v4=")</f>
        <v>#VALUE!</v>
      </c>
      <c r="IV30" t="e">
        <f>AND(Plants!M209,"AAAAAH60/v8=")</f>
        <v>#VALUE!</v>
      </c>
    </row>
    <row r="31" spans="1:256">
      <c r="A31" t="e">
        <f>AND(Plants!N209,"AAAAADMsHwA=")</f>
        <v>#VALUE!</v>
      </c>
      <c r="B31" t="e">
        <f>AND(Plants!O209,"AAAAADMsHwE=")</f>
        <v>#VALUE!</v>
      </c>
      <c r="C31" t="e">
        <f>AND(Plants!P209,"AAAAADMsHwI=")</f>
        <v>#VALUE!</v>
      </c>
      <c r="D31" t="e">
        <f>AND(Plants!Q209,"AAAAADMsHwM=")</f>
        <v>#VALUE!</v>
      </c>
      <c r="E31" t="e">
        <f>IF(Plants!210:210,"AAAAADMsHwQ=",0)</f>
        <v>#VALUE!</v>
      </c>
      <c r="F31" t="e">
        <f>AND(Plants!A210,"AAAAADMsHwU=")</f>
        <v>#VALUE!</v>
      </c>
      <c r="G31" t="e">
        <f>AND(Plants!B210,"AAAAADMsHwY=")</f>
        <v>#VALUE!</v>
      </c>
      <c r="H31" t="e">
        <f>AND(Plants!C210,"AAAAADMsHwc=")</f>
        <v>#VALUE!</v>
      </c>
      <c r="I31" t="e">
        <f>AND(Plants!D210,"AAAAADMsHwg=")</f>
        <v>#VALUE!</v>
      </c>
      <c r="J31" t="e">
        <f>AND(Plants!E210,"AAAAADMsHwk=")</f>
        <v>#VALUE!</v>
      </c>
      <c r="K31" t="e">
        <f>AND(Plants!F210,"AAAAADMsHwo=")</f>
        <v>#VALUE!</v>
      </c>
      <c r="L31" t="e">
        <f>AND(Plants!G210,"AAAAADMsHws=")</f>
        <v>#VALUE!</v>
      </c>
      <c r="M31" t="e">
        <f>AND(Plants!H210,"AAAAADMsHww=")</f>
        <v>#VALUE!</v>
      </c>
      <c r="N31" t="e">
        <f>AND(Plants!I210,"AAAAADMsHw0=")</f>
        <v>#VALUE!</v>
      </c>
      <c r="O31" t="e">
        <f>AND(Plants!J210,"AAAAADMsHw4=")</f>
        <v>#VALUE!</v>
      </c>
      <c r="P31" t="e">
        <f>AND(Plants!K210,"AAAAADMsHw8=")</f>
        <v>#VALUE!</v>
      </c>
      <c r="Q31" t="e">
        <f>AND(Plants!L210,"AAAAADMsHxA=")</f>
        <v>#VALUE!</v>
      </c>
      <c r="R31" t="e">
        <f>AND(Plants!M210,"AAAAADMsHxE=")</f>
        <v>#VALUE!</v>
      </c>
      <c r="S31" t="e">
        <f>AND(Plants!N210,"AAAAADMsHxI=")</f>
        <v>#VALUE!</v>
      </c>
      <c r="T31" t="e">
        <f>AND(Plants!O210,"AAAAADMsHxM=")</f>
        <v>#VALUE!</v>
      </c>
      <c r="U31" t="e">
        <f>AND(Plants!P210,"AAAAADMsHxQ=")</f>
        <v>#VALUE!</v>
      </c>
      <c r="V31" t="e">
        <f>AND(Plants!Q210,"AAAAADMsHxU=")</f>
        <v>#VALUE!</v>
      </c>
      <c r="W31">
        <f>IF(Plants!211:211,"AAAAADMsHxY=",0)</f>
        <v>0</v>
      </c>
      <c r="X31" t="e">
        <f>AND(Plants!A211,"AAAAADMsHxc=")</f>
        <v>#VALUE!</v>
      </c>
      <c r="Y31" t="e">
        <f>AND(Plants!B211,"AAAAADMsHxg=")</f>
        <v>#VALUE!</v>
      </c>
      <c r="Z31" t="e">
        <f>AND(Plants!C211,"AAAAADMsHxk=")</f>
        <v>#VALUE!</v>
      </c>
      <c r="AA31" t="e">
        <f>AND(Plants!D211,"AAAAADMsHxo=")</f>
        <v>#VALUE!</v>
      </c>
      <c r="AB31" t="e">
        <f>AND(Plants!E211,"AAAAADMsHxs=")</f>
        <v>#VALUE!</v>
      </c>
      <c r="AC31" t="e">
        <f>AND(Plants!F211,"AAAAADMsHxw=")</f>
        <v>#VALUE!</v>
      </c>
      <c r="AD31" t="e">
        <f>AND(Plants!G211,"AAAAADMsHx0=")</f>
        <v>#VALUE!</v>
      </c>
      <c r="AE31" t="e">
        <f>AND(Plants!H211,"AAAAADMsHx4=")</f>
        <v>#VALUE!</v>
      </c>
      <c r="AF31" t="e">
        <f>AND(Plants!I211,"AAAAADMsHx8=")</f>
        <v>#VALUE!</v>
      </c>
      <c r="AG31" t="e">
        <f>AND(Plants!J211,"AAAAADMsHyA=")</f>
        <v>#VALUE!</v>
      </c>
      <c r="AH31" t="e">
        <f>AND(Plants!K211,"AAAAADMsHyE=")</f>
        <v>#VALUE!</v>
      </c>
      <c r="AI31" t="e">
        <f>AND(Plants!L211,"AAAAADMsHyI=")</f>
        <v>#VALUE!</v>
      </c>
      <c r="AJ31" t="e">
        <f>AND(Plants!M211,"AAAAADMsHyM=")</f>
        <v>#VALUE!</v>
      </c>
      <c r="AK31" t="e">
        <f>AND(Plants!N211,"AAAAADMsHyQ=")</f>
        <v>#VALUE!</v>
      </c>
      <c r="AL31" t="e">
        <f>AND(Plants!O211,"AAAAADMsHyU=")</f>
        <v>#VALUE!</v>
      </c>
      <c r="AM31" t="e">
        <f>AND(Plants!P211,"AAAAADMsHyY=")</f>
        <v>#VALUE!</v>
      </c>
      <c r="AN31" t="e">
        <f>AND(Plants!Q211,"AAAAADMsHyc=")</f>
        <v>#VALUE!</v>
      </c>
      <c r="AO31">
        <f>IF(Plants!212:212,"AAAAADMsHyg=",0)</f>
        <v>0</v>
      </c>
      <c r="AP31" t="e">
        <f>AND(Plants!A212,"AAAAADMsHyk=")</f>
        <v>#VALUE!</v>
      </c>
      <c r="AQ31" t="e">
        <f>AND(Plants!B212,"AAAAADMsHyo=")</f>
        <v>#VALUE!</v>
      </c>
      <c r="AR31" t="e">
        <f>AND(Plants!C212,"AAAAADMsHys=")</f>
        <v>#VALUE!</v>
      </c>
      <c r="AS31" t="e">
        <f>AND(Plants!D212,"AAAAADMsHyw=")</f>
        <v>#VALUE!</v>
      </c>
      <c r="AT31" t="e">
        <f>AND(Plants!E212,"AAAAADMsHy0=")</f>
        <v>#VALUE!</v>
      </c>
      <c r="AU31" t="e">
        <f>AND(Plants!F212,"AAAAADMsHy4=")</f>
        <v>#VALUE!</v>
      </c>
      <c r="AV31" t="e">
        <f>AND(Plants!G212,"AAAAADMsHy8=")</f>
        <v>#VALUE!</v>
      </c>
      <c r="AW31" t="e">
        <f>AND(Plants!H212,"AAAAADMsHzA=")</f>
        <v>#VALUE!</v>
      </c>
      <c r="AX31" t="e">
        <f>AND(Plants!I212,"AAAAADMsHzE=")</f>
        <v>#VALUE!</v>
      </c>
      <c r="AY31" t="e">
        <f>AND(Plants!J212,"AAAAADMsHzI=")</f>
        <v>#VALUE!</v>
      </c>
      <c r="AZ31" t="e">
        <f>AND(Plants!K212,"AAAAADMsHzM=")</f>
        <v>#VALUE!</v>
      </c>
      <c r="BA31" t="e">
        <f>AND(Plants!L212,"AAAAADMsHzQ=")</f>
        <v>#VALUE!</v>
      </c>
      <c r="BB31" t="e">
        <f>AND(Plants!M212,"AAAAADMsHzU=")</f>
        <v>#VALUE!</v>
      </c>
      <c r="BC31" t="e">
        <f>AND(Plants!N212,"AAAAADMsHzY=")</f>
        <v>#VALUE!</v>
      </c>
      <c r="BD31" t="e">
        <f>AND(Plants!O212,"AAAAADMsHzc=")</f>
        <v>#VALUE!</v>
      </c>
      <c r="BE31" t="e">
        <f>AND(Plants!P212,"AAAAADMsHzg=")</f>
        <v>#VALUE!</v>
      </c>
      <c r="BF31" t="e">
        <f>AND(Plants!Q212,"AAAAADMsHzk=")</f>
        <v>#VALUE!</v>
      </c>
      <c r="BG31">
        <f>IF(Plants!213:213,"AAAAADMsHzo=",0)</f>
        <v>0</v>
      </c>
      <c r="BH31" t="e">
        <f>AND(Plants!A213,"AAAAADMsHzs=")</f>
        <v>#VALUE!</v>
      </c>
      <c r="BI31" t="e">
        <f>AND(Plants!B213,"AAAAADMsHzw=")</f>
        <v>#VALUE!</v>
      </c>
      <c r="BJ31" t="e">
        <f>AND(Plants!C213,"AAAAADMsHz0=")</f>
        <v>#VALUE!</v>
      </c>
      <c r="BK31" t="e">
        <f>AND(Plants!D213,"AAAAADMsHz4=")</f>
        <v>#VALUE!</v>
      </c>
      <c r="BL31" t="e">
        <f>AND(Plants!E213,"AAAAADMsHz8=")</f>
        <v>#VALUE!</v>
      </c>
      <c r="BM31" t="e">
        <f>AND(Plants!F213,"AAAAADMsH0A=")</f>
        <v>#VALUE!</v>
      </c>
      <c r="BN31" t="e">
        <f>AND(Plants!G213,"AAAAADMsH0E=")</f>
        <v>#VALUE!</v>
      </c>
      <c r="BO31" t="e">
        <f>AND(Plants!H213,"AAAAADMsH0I=")</f>
        <v>#VALUE!</v>
      </c>
      <c r="BP31" t="e">
        <f>AND(Plants!I213,"AAAAADMsH0M=")</f>
        <v>#VALUE!</v>
      </c>
      <c r="BQ31" t="e">
        <f>AND(Plants!J213,"AAAAADMsH0Q=")</f>
        <v>#VALUE!</v>
      </c>
      <c r="BR31" t="e">
        <f>AND(Plants!K213,"AAAAADMsH0U=")</f>
        <v>#VALUE!</v>
      </c>
      <c r="BS31" t="e">
        <f>AND(Plants!L213,"AAAAADMsH0Y=")</f>
        <v>#VALUE!</v>
      </c>
      <c r="BT31" t="e">
        <f>AND(Plants!M213,"AAAAADMsH0c=")</f>
        <v>#VALUE!</v>
      </c>
      <c r="BU31" t="e">
        <f>AND(Plants!N213,"AAAAADMsH0g=")</f>
        <v>#VALUE!</v>
      </c>
      <c r="BV31" t="e">
        <f>AND(Plants!O213,"AAAAADMsH0k=")</f>
        <v>#VALUE!</v>
      </c>
      <c r="BW31" t="e">
        <f>AND(Plants!P213,"AAAAADMsH0o=")</f>
        <v>#VALUE!</v>
      </c>
      <c r="BX31" t="e">
        <f>AND(Plants!Q213,"AAAAADMsH0s=")</f>
        <v>#VALUE!</v>
      </c>
      <c r="BY31">
        <f>IF(Plants!214:214,"AAAAADMsH0w=",0)</f>
        <v>0</v>
      </c>
      <c r="BZ31" t="e">
        <f>AND(Plants!A214,"AAAAADMsH00=")</f>
        <v>#VALUE!</v>
      </c>
      <c r="CA31" t="e">
        <f>AND(Plants!B214,"AAAAADMsH04=")</f>
        <v>#VALUE!</v>
      </c>
      <c r="CB31" t="e">
        <f>AND(Plants!C214,"AAAAADMsH08=")</f>
        <v>#VALUE!</v>
      </c>
      <c r="CC31" t="e">
        <f>AND(Plants!D214,"AAAAADMsH1A=")</f>
        <v>#VALUE!</v>
      </c>
      <c r="CD31" t="e">
        <f>AND(Plants!E214,"AAAAADMsH1E=")</f>
        <v>#VALUE!</v>
      </c>
      <c r="CE31" t="e">
        <f>AND(Plants!F214,"AAAAADMsH1I=")</f>
        <v>#VALUE!</v>
      </c>
      <c r="CF31" t="e">
        <f>AND(Plants!G214,"AAAAADMsH1M=")</f>
        <v>#VALUE!</v>
      </c>
      <c r="CG31" t="e">
        <f>AND(Plants!H214,"AAAAADMsH1Q=")</f>
        <v>#VALUE!</v>
      </c>
      <c r="CH31" t="e">
        <f>AND(Plants!I214,"AAAAADMsH1U=")</f>
        <v>#VALUE!</v>
      </c>
      <c r="CI31" t="e">
        <f>AND(Plants!J214,"AAAAADMsH1Y=")</f>
        <v>#VALUE!</v>
      </c>
      <c r="CJ31" t="e">
        <f>AND(Plants!K214,"AAAAADMsH1c=")</f>
        <v>#VALUE!</v>
      </c>
      <c r="CK31" t="e">
        <f>AND(Plants!L214,"AAAAADMsH1g=")</f>
        <v>#VALUE!</v>
      </c>
      <c r="CL31" t="e">
        <f>AND(Plants!M214,"AAAAADMsH1k=")</f>
        <v>#VALUE!</v>
      </c>
      <c r="CM31" t="e">
        <f>AND(Plants!N214,"AAAAADMsH1o=")</f>
        <v>#VALUE!</v>
      </c>
      <c r="CN31" t="e">
        <f>AND(Plants!O214,"AAAAADMsH1s=")</f>
        <v>#VALUE!</v>
      </c>
      <c r="CO31" t="e">
        <f>AND(Plants!P214,"AAAAADMsH1w=")</f>
        <v>#VALUE!</v>
      </c>
      <c r="CP31" t="e">
        <f>AND(Plants!Q214,"AAAAADMsH10=")</f>
        <v>#VALUE!</v>
      </c>
      <c r="CQ31">
        <f>IF(Plants!215:215,"AAAAADMsH14=",0)</f>
        <v>0</v>
      </c>
      <c r="CR31" t="e">
        <f>AND(Plants!A215,"AAAAADMsH18=")</f>
        <v>#VALUE!</v>
      </c>
      <c r="CS31" t="e">
        <f>AND(Plants!B215,"AAAAADMsH2A=")</f>
        <v>#VALUE!</v>
      </c>
      <c r="CT31" t="e">
        <f>AND(Plants!C215,"AAAAADMsH2E=")</f>
        <v>#VALUE!</v>
      </c>
      <c r="CU31" t="e">
        <f>AND(Plants!D215,"AAAAADMsH2I=")</f>
        <v>#VALUE!</v>
      </c>
      <c r="CV31" t="e">
        <f>AND(Plants!E215,"AAAAADMsH2M=")</f>
        <v>#VALUE!</v>
      </c>
      <c r="CW31" t="e">
        <f>AND(Plants!F215,"AAAAADMsH2Q=")</f>
        <v>#VALUE!</v>
      </c>
      <c r="CX31" t="e">
        <f>AND(Plants!G215,"AAAAADMsH2U=")</f>
        <v>#VALUE!</v>
      </c>
      <c r="CY31" t="e">
        <f>AND(Plants!H215,"AAAAADMsH2Y=")</f>
        <v>#VALUE!</v>
      </c>
      <c r="CZ31" t="e">
        <f>AND(Plants!I215,"AAAAADMsH2c=")</f>
        <v>#VALUE!</v>
      </c>
      <c r="DA31" t="e">
        <f>AND(Plants!J215,"AAAAADMsH2g=")</f>
        <v>#VALUE!</v>
      </c>
      <c r="DB31" t="e">
        <f>AND(Plants!K215,"AAAAADMsH2k=")</f>
        <v>#VALUE!</v>
      </c>
      <c r="DC31" t="e">
        <f>AND(Plants!L215,"AAAAADMsH2o=")</f>
        <v>#VALUE!</v>
      </c>
      <c r="DD31" t="e">
        <f>AND(Plants!M215,"AAAAADMsH2s=")</f>
        <v>#VALUE!</v>
      </c>
      <c r="DE31" t="e">
        <f>AND(Plants!N215,"AAAAADMsH2w=")</f>
        <v>#VALUE!</v>
      </c>
      <c r="DF31" t="e">
        <f>AND(Plants!O215,"AAAAADMsH20=")</f>
        <v>#VALUE!</v>
      </c>
      <c r="DG31" t="e">
        <f>AND(Plants!P215,"AAAAADMsH24=")</f>
        <v>#VALUE!</v>
      </c>
      <c r="DH31" t="e">
        <f>AND(Plants!Q215,"AAAAADMsH28=")</f>
        <v>#VALUE!</v>
      </c>
      <c r="DI31">
        <f>IF(Plants!216:216,"AAAAADMsH3A=",0)</f>
        <v>0</v>
      </c>
      <c r="DJ31" t="e">
        <f>AND(Plants!A216,"AAAAADMsH3E=")</f>
        <v>#VALUE!</v>
      </c>
      <c r="DK31" t="e">
        <f>AND(Plants!B216,"AAAAADMsH3I=")</f>
        <v>#VALUE!</v>
      </c>
      <c r="DL31" t="e">
        <f>AND(Plants!C216,"AAAAADMsH3M=")</f>
        <v>#VALUE!</v>
      </c>
      <c r="DM31" t="e">
        <f>AND(Plants!D216,"AAAAADMsH3Q=")</f>
        <v>#VALUE!</v>
      </c>
      <c r="DN31" t="e">
        <f>AND(Plants!E216,"AAAAADMsH3U=")</f>
        <v>#VALUE!</v>
      </c>
      <c r="DO31" t="e">
        <f>AND(Plants!F216,"AAAAADMsH3Y=")</f>
        <v>#VALUE!</v>
      </c>
      <c r="DP31" t="e">
        <f>AND(Plants!G216,"AAAAADMsH3c=")</f>
        <v>#VALUE!</v>
      </c>
      <c r="DQ31" t="e">
        <f>AND(Plants!H216,"AAAAADMsH3g=")</f>
        <v>#VALUE!</v>
      </c>
      <c r="DR31" t="e">
        <f>AND(Plants!I216,"AAAAADMsH3k=")</f>
        <v>#VALUE!</v>
      </c>
      <c r="DS31" t="e">
        <f>AND(Plants!J216,"AAAAADMsH3o=")</f>
        <v>#VALUE!</v>
      </c>
      <c r="DT31" t="e">
        <f>AND(Plants!K216,"AAAAADMsH3s=")</f>
        <v>#VALUE!</v>
      </c>
      <c r="DU31" t="e">
        <f>AND(Plants!L216,"AAAAADMsH3w=")</f>
        <v>#VALUE!</v>
      </c>
      <c r="DV31" t="e">
        <f>AND(Plants!M216,"AAAAADMsH30=")</f>
        <v>#VALUE!</v>
      </c>
      <c r="DW31" t="e">
        <f>AND(Plants!N216,"AAAAADMsH34=")</f>
        <v>#VALUE!</v>
      </c>
      <c r="DX31" t="e">
        <f>AND(Plants!O216,"AAAAADMsH38=")</f>
        <v>#VALUE!</v>
      </c>
      <c r="DY31" t="e">
        <f>AND(Plants!P216,"AAAAADMsH4A=")</f>
        <v>#VALUE!</v>
      </c>
      <c r="DZ31" t="e">
        <f>AND(Plants!Q216,"AAAAADMsH4E=")</f>
        <v>#VALUE!</v>
      </c>
      <c r="EA31">
        <f>IF(Plants!217:217,"AAAAADMsH4I=",0)</f>
        <v>0</v>
      </c>
      <c r="EB31" t="e">
        <f>AND(Plants!A217,"AAAAADMsH4M=")</f>
        <v>#VALUE!</v>
      </c>
      <c r="EC31" t="e">
        <f>AND(Plants!B217,"AAAAADMsH4Q=")</f>
        <v>#VALUE!</v>
      </c>
      <c r="ED31" t="e">
        <f>AND(Plants!C217,"AAAAADMsH4U=")</f>
        <v>#VALUE!</v>
      </c>
      <c r="EE31" t="e">
        <f>AND(Plants!D217,"AAAAADMsH4Y=")</f>
        <v>#VALUE!</v>
      </c>
      <c r="EF31" t="e">
        <f>AND(Plants!E217,"AAAAADMsH4c=")</f>
        <v>#VALUE!</v>
      </c>
      <c r="EG31" t="e">
        <f>AND(Plants!F217,"AAAAADMsH4g=")</f>
        <v>#VALUE!</v>
      </c>
      <c r="EH31" t="e">
        <f>AND(Plants!G217,"AAAAADMsH4k=")</f>
        <v>#VALUE!</v>
      </c>
      <c r="EI31" t="e">
        <f>AND(Plants!H217,"AAAAADMsH4o=")</f>
        <v>#VALUE!</v>
      </c>
      <c r="EJ31" t="e">
        <f>AND(Plants!I217,"AAAAADMsH4s=")</f>
        <v>#VALUE!</v>
      </c>
      <c r="EK31" t="e">
        <f>AND(Plants!J217,"AAAAADMsH4w=")</f>
        <v>#VALUE!</v>
      </c>
      <c r="EL31" t="e">
        <f>AND(Plants!K217,"AAAAADMsH40=")</f>
        <v>#VALUE!</v>
      </c>
      <c r="EM31" t="e">
        <f>AND(Plants!L217,"AAAAADMsH44=")</f>
        <v>#VALUE!</v>
      </c>
      <c r="EN31" t="e">
        <f>AND(Plants!M217,"AAAAADMsH48=")</f>
        <v>#VALUE!</v>
      </c>
      <c r="EO31" t="e">
        <f>AND(Plants!N217,"AAAAADMsH5A=")</f>
        <v>#VALUE!</v>
      </c>
      <c r="EP31" t="e">
        <f>AND(Plants!O217,"AAAAADMsH5E=")</f>
        <v>#VALUE!</v>
      </c>
      <c r="EQ31" t="e">
        <f>AND(Plants!P217,"AAAAADMsH5I=")</f>
        <v>#VALUE!</v>
      </c>
      <c r="ER31" t="e">
        <f>AND(Plants!Q217,"AAAAADMsH5M=")</f>
        <v>#VALUE!</v>
      </c>
      <c r="ES31">
        <f>IF(Plants!218:218,"AAAAADMsH5Q=",0)</f>
        <v>0</v>
      </c>
      <c r="ET31" t="e">
        <f>AND(Plants!A218,"AAAAADMsH5U=")</f>
        <v>#VALUE!</v>
      </c>
      <c r="EU31" t="e">
        <f>AND(Plants!B218,"AAAAADMsH5Y=")</f>
        <v>#VALUE!</v>
      </c>
      <c r="EV31" t="e">
        <f>AND(Plants!C218,"AAAAADMsH5c=")</f>
        <v>#VALUE!</v>
      </c>
      <c r="EW31" t="e">
        <f>AND(Plants!D218,"AAAAADMsH5g=")</f>
        <v>#VALUE!</v>
      </c>
      <c r="EX31" t="e">
        <f>AND(Plants!E218,"AAAAADMsH5k=")</f>
        <v>#VALUE!</v>
      </c>
      <c r="EY31" t="e">
        <f>AND(Plants!F218,"AAAAADMsH5o=")</f>
        <v>#VALUE!</v>
      </c>
      <c r="EZ31" t="e">
        <f>AND(Plants!G218,"AAAAADMsH5s=")</f>
        <v>#VALUE!</v>
      </c>
      <c r="FA31" t="e">
        <f>AND(Plants!H218,"AAAAADMsH5w=")</f>
        <v>#VALUE!</v>
      </c>
      <c r="FB31" t="e">
        <f>AND(Plants!I218,"AAAAADMsH50=")</f>
        <v>#VALUE!</v>
      </c>
      <c r="FC31" t="e">
        <f>AND(Plants!J218,"AAAAADMsH54=")</f>
        <v>#VALUE!</v>
      </c>
      <c r="FD31" t="e">
        <f>AND(Plants!K218,"AAAAADMsH58=")</f>
        <v>#VALUE!</v>
      </c>
      <c r="FE31" t="e">
        <f>AND(Plants!L218,"AAAAADMsH6A=")</f>
        <v>#VALUE!</v>
      </c>
      <c r="FF31" t="e">
        <f>AND(Plants!M218,"AAAAADMsH6E=")</f>
        <v>#VALUE!</v>
      </c>
      <c r="FG31" t="e">
        <f>AND(Plants!N218,"AAAAADMsH6I=")</f>
        <v>#VALUE!</v>
      </c>
      <c r="FH31" t="e">
        <f>AND(Plants!O218,"AAAAADMsH6M=")</f>
        <v>#VALUE!</v>
      </c>
      <c r="FI31" t="e">
        <f>AND(Plants!P218,"AAAAADMsH6Q=")</f>
        <v>#VALUE!</v>
      </c>
      <c r="FJ31" t="e">
        <f>AND(Plants!Q218,"AAAAADMsH6U=")</f>
        <v>#VALUE!</v>
      </c>
      <c r="FK31">
        <f>IF(Plants!219:219,"AAAAADMsH6Y=",0)</f>
        <v>0</v>
      </c>
      <c r="FL31" t="e">
        <f>AND(Plants!A219,"AAAAADMsH6c=")</f>
        <v>#VALUE!</v>
      </c>
      <c r="FM31" t="e">
        <f>AND(Plants!B219,"AAAAADMsH6g=")</f>
        <v>#VALUE!</v>
      </c>
      <c r="FN31" t="e">
        <f>AND(Plants!C219,"AAAAADMsH6k=")</f>
        <v>#VALUE!</v>
      </c>
      <c r="FO31" t="e">
        <f>AND(Plants!D219,"AAAAADMsH6o=")</f>
        <v>#VALUE!</v>
      </c>
      <c r="FP31" t="e">
        <f>AND(Plants!E219,"AAAAADMsH6s=")</f>
        <v>#VALUE!</v>
      </c>
      <c r="FQ31" t="e">
        <f>AND(Plants!F219,"AAAAADMsH6w=")</f>
        <v>#VALUE!</v>
      </c>
      <c r="FR31" t="e">
        <f>AND(Plants!G219,"AAAAADMsH60=")</f>
        <v>#VALUE!</v>
      </c>
      <c r="FS31" t="e">
        <f>AND(Plants!H219,"AAAAADMsH64=")</f>
        <v>#VALUE!</v>
      </c>
      <c r="FT31" t="e">
        <f>AND(Plants!I219,"AAAAADMsH68=")</f>
        <v>#VALUE!</v>
      </c>
      <c r="FU31" t="e">
        <f>AND(Plants!J219,"AAAAADMsH7A=")</f>
        <v>#VALUE!</v>
      </c>
      <c r="FV31" t="e">
        <f>AND(Plants!K219,"AAAAADMsH7E=")</f>
        <v>#VALUE!</v>
      </c>
      <c r="FW31" t="e">
        <f>AND(Plants!L219,"AAAAADMsH7I=")</f>
        <v>#VALUE!</v>
      </c>
      <c r="FX31" t="e">
        <f>AND(Plants!M219,"AAAAADMsH7M=")</f>
        <v>#VALUE!</v>
      </c>
      <c r="FY31" t="e">
        <f>AND(Plants!N219,"AAAAADMsH7Q=")</f>
        <v>#VALUE!</v>
      </c>
      <c r="FZ31" t="e">
        <f>AND(Plants!O219,"AAAAADMsH7U=")</f>
        <v>#VALUE!</v>
      </c>
      <c r="GA31" t="e">
        <f>AND(Plants!P219,"AAAAADMsH7Y=")</f>
        <v>#VALUE!</v>
      </c>
      <c r="GB31" t="e">
        <f>AND(Plants!Q219,"AAAAADMsH7c=")</f>
        <v>#VALUE!</v>
      </c>
      <c r="GC31">
        <f>IF(Plants!220:220,"AAAAADMsH7g=",0)</f>
        <v>0</v>
      </c>
      <c r="GD31" t="e">
        <f>AND(Plants!A220,"AAAAADMsH7k=")</f>
        <v>#VALUE!</v>
      </c>
      <c r="GE31" t="e">
        <f>AND(Plants!B220,"AAAAADMsH7o=")</f>
        <v>#VALUE!</v>
      </c>
      <c r="GF31" t="e">
        <f>AND(Plants!C220,"AAAAADMsH7s=")</f>
        <v>#VALUE!</v>
      </c>
      <c r="GG31" t="e">
        <f>AND(Plants!D220,"AAAAADMsH7w=")</f>
        <v>#VALUE!</v>
      </c>
      <c r="GH31" t="e">
        <f>AND(Plants!E220,"AAAAADMsH70=")</f>
        <v>#VALUE!</v>
      </c>
      <c r="GI31" t="e">
        <f>AND(Plants!F220,"AAAAADMsH74=")</f>
        <v>#VALUE!</v>
      </c>
      <c r="GJ31" t="e">
        <f>AND(Plants!G220,"AAAAADMsH78=")</f>
        <v>#VALUE!</v>
      </c>
      <c r="GK31" t="e">
        <f>AND(Plants!H220,"AAAAADMsH8A=")</f>
        <v>#VALUE!</v>
      </c>
      <c r="GL31" t="e">
        <f>AND(Plants!I220,"AAAAADMsH8E=")</f>
        <v>#VALUE!</v>
      </c>
      <c r="GM31" t="e">
        <f>AND(Plants!J220,"AAAAADMsH8I=")</f>
        <v>#VALUE!</v>
      </c>
      <c r="GN31" t="e">
        <f>AND(Plants!K220,"AAAAADMsH8M=")</f>
        <v>#VALUE!</v>
      </c>
      <c r="GO31" t="e">
        <f>AND(Plants!L220,"AAAAADMsH8Q=")</f>
        <v>#VALUE!</v>
      </c>
      <c r="GP31" t="e">
        <f>AND(Plants!M220,"AAAAADMsH8U=")</f>
        <v>#VALUE!</v>
      </c>
      <c r="GQ31" t="e">
        <f>AND(Plants!N220,"AAAAADMsH8Y=")</f>
        <v>#VALUE!</v>
      </c>
      <c r="GR31" t="e">
        <f>AND(Plants!O220,"AAAAADMsH8c=")</f>
        <v>#VALUE!</v>
      </c>
      <c r="GS31" t="e">
        <f>AND(Plants!P220,"AAAAADMsH8g=")</f>
        <v>#VALUE!</v>
      </c>
      <c r="GT31" t="e">
        <f>AND(Plants!Q220,"AAAAADMsH8k=")</f>
        <v>#VALUE!</v>
      </c>
      <c r="GU31">
        <f>IF(Plants!221:221,"AAAAADMsH8o=",0)</f>
        <v>0</v>
      </c>
      <c r="GV31" t="e">
        <f>AND(Plants!A221,"AAAAADMsH8s=")</f>
        <v>#VALUE!</v>
      </c>
      <c r="GW31" t="e">
        <f>AND(Plants!B221,"AAAAADMsH8w=")</f>
        <v>#VALUE!</v>
      </c>
      <c r="GX31" t="e">
        <f>AND(Plants!C221,"AAAAADMsH80=")</f>
        <v>#VALUE!</v>
      </c>
      <c r="GY31" t="e">
        <f>AND(Plants!D221,"AAAAADMsH84=")</f>
        <v>#VALUE!</v>
      </c>
      <c r="GZ31" t="e">
        <f>AND(Plants!E221,"AAAAADMsH88=")</f>
        <v>#VALUE!</v>
      </c>
      <c r="HA31" t="e">
        <f>AND(Plants!F221,"AAAAADMsH9A=")</f>
        <v>#VALUE!</v>
      </c>
      <c r="HB31" t="e">
        <f>AND(Plants!G221,"AAAAADMsH9E=")</f>
        <v>#VALUE!</v>
      </c>
      <c r="HC31" t="e">
        <f>AND(Plants!H221,"AAAAADMsH9I=")</f>
        <v>#VALUE!</v>
      </c>
      <c r="HD31" t="e">
        <f>AND(Plants!I221,"AAAAADMsH9M=")</f>
        <v>#VALUE!</v>
      </c>
      <c r="HE31" t="e">
        <f>AND(Plants!J221,"AAAAADMsH9Q=")</f>
        <v>#VALUE!</v>
      </c>
      <c r="HF31" t="e">
        <f>AND(Plants!K221,"AAAAADMsH9U=")</f>
        <v>#VALUE!</v>
      </c>
      <c r="HG31" t="e">
        <f>AND(Plants!L221,"AAAAADMsH9Y=")</f>
        <v>#VALUE!</v>
      </c>
      <c r="HH31" t="e">
        <f>AND(Plants!M221,"AAAAADMsH9c=")</f>
        <v>#VALUE!</v>
      </c>
      <c r="HI31" t="e">
        <f>AND(Plants!N221,"AAAAADMsH9g=")</f>
        <v>#VALUE!</v>
      </c>
      <c r="HJ31" t="e">
        <f>AND(Plants!O221,"AAAAADMsH9k=")</f>
        <v>#VALUE!</v>
      </c>
      <c r="HK31" t="e">
        <f>AND(Plants!P221,"AAAAADMsH9o=")</f>
        <v>#VALUE!</v>
      </c>
      <c r="HL31" t="e">
        <f>AND(Plants!Q221,"AAAAADMsH9s=")</f>
        <v>#VALUE!</v>
      </c>
      <c r="HM31">
        <f>IF(Plants!222:222,"AAAAADMsH9w=",0)</f>
        <v>0</v>
      </c>
      <c r="HN31" t="e">
        <f>AND(Plants!A222,"AAAAADMsH90=")</f>
        <v>#VALUE!</v>
      </c>
      <c r="HO31" t="e">
        <f>AND(Plants!B222,"AAAAADMsH94=")</f>
        <v>#VALUE!</v>
      </c>
      <c r="HP31" t="e">
        <f>AND(Plants!C222,"AAAAADMsH98=")</f>
        <v>#VALUE!</v>
      </c>
      <c r="HQ31" t="e">
        <f>AND(Plants!D222,"AAAAADMsH+A=")</f>
        <v>#VALUE!</v>
      </c>
      <c r="HR31" t="e">
        <f>AND(Plants!E222,"AAAAADMsH+E=")</f>
        <v>#VALUE!</v>
      </c>
      <c r="HS31" t="e">
        <f>AND(Plants!F222,"AAAAADMsH+I=")</f>
        <v>#VALUE!</v>
      </c>
      <c r="HT31" t="e">
        <f>AND(Plants!G222,"AAAAADMsH+M=")</f>
        <v>#VALUE!</v>
      </c>
      <c r="HU31" t="e">
        <f>AND(Plants!H222,"AAAAADMsH+Q=")</f>
        <v>#VALUE!</v>
      </c>
      <c r="HV31" t="e">
        <f>AND(Plants!I222,"AAAAADMsH+U=")</f>
        <v>#VALUE!</v>
      </c>
      <c r="HW31" t="e">
        <f>AND(Plants!J222,"AAAAADMsH+Y=")</f>
        <v>#VALUE!</v>
      </c>
      <c r="HX31" t="e">
        <f>AND(Plants!K222,"AAAAADMsH+c=")</f>
        <v>#VALUE!</v>
      </c>
      <c r="HY31" t="e">
        <f>AND(Plants!L222,"AAAAADMsH+g=")</f>
        <v>#VALUE!</v>
      </c>
      <c r="HZ31" t="e">
        <f>AND(Plants!M222,"AAAAADMsH+k=")</f>
        <v>#VALUE!</v>
      </c>
      <c r="IA31" t="e">
        <f>AND(Plants!N222,"AAAAADMsH+o=")</f>
        <v>#VALUE!</v>
      </c>
      <c r="IB31" t="e">
        <f>AND(Plants!O222,"AAAAADMsH+s=")</f>
        <v>#VALUE!</v>
      </c>
      <c r="IC31" t="e">
        <f>AND(Plants!P222,"AAAAADMsH+w=")</f>
        <v>#VALUE!</v>
      </c>
      <c r="ID31" t="e">
        <f>AND(Plants!Q222,"AAAAADMsH+0=")</f>
        <v>#VALUE!</v>
      </c>
      <c r="IE31">
        <f>IF(Plants!223:223,"AAAAADMsH+4=",0)</f>
        <v>0</v>
      </c>
      <c r="IF31" t="e">
        <f>AND(Plants!A223,"AAAAADMsH+8=")</f>
        <v>#VALUE!</v>
      </c>
      <c r="IG31" t="e">
        <f>AND(Plants!B223,"AAAAADMsH/A=")</f>
        <v>#VALUE!</v>
      </c>
      <c r="IH31" t="e">
        <f>AND(Plants!C223,"AAAAADMsH/E=")</f>
        <v>#VALUE!</v>
      </c>
      <c r="II31" t="e">
        <f>AND(Plants!D223,"AAAAADMsH/I=")</f>
        <v>#VALUE!</v>
      </c>
      <c r="IJ31" t="e">
        <f>AND(Plants!E223,"AAAAADMsH/M=")</f>
        <v>#VALUE!</v>
      </c>
      <c r="IK31" t="e">
        <f>AND(Plants!F223,"AAAAADMsH/Q=")</f>
        <v>#VALUE!</v>
      </c>
      <c r="IL31" t="e">
        <f>AND(Plants!G223,"AAAAADMsH/U=")</f>
        <v>#VALUE!</v>
      </c>
      <c r="IM31" t="e">
        <f>AND(Plants!H223,"AAAAADMsH/Y=")</f>
        <v>#VALUE!</v>
      </c>
      <c r="IN31" t="e">
        <f>AND(Plants!I223,"AAAAADMsH/c=")</f>
        <v>#VALUE!</v>
      </c>
      <c r="IO31" t="e">
        <f>AND(Plants!J223,"AAAAADMsH/g=")</f>
        <v>#VALUE!</v>
      </c>
      <c r="IP31" t="e">
        <f>AND(Plants!K223,"AAAAADMsH/k=")</f>
        <v>#VALUE!</v>
      </c>
      <c r="IQ31" t="e">
        <f>AND(Plants!L223,"AAAAADMsH/o=")</f>
        <v>#VALUE!</v>
      </c>
      <c r="IR31" t="e">
        <f>AND(Plants!M223,"AAAAADMsH/s=")</f>
        <v>#VALUE!</v>
      </c>
      <c r="IS31" t="e">
        <f>AND(Plants!N223,"AAAAADMsH/w=")</f>
        <v>#VALUE!</v>
      </c>
      <c r="IT31" t="e">
        <f>AND(Plants!O223,"AAAAADMsH/0=")</f>
        <v>#VALUE!</v>
      </c>
      <c r="IU31" t="e">
        <f>AND(Plants!P223,"AAAAADMsH/4=")</f>
        <v>#VALUE!</v>
      </c>
      <c r="IV31" t="e">
        <f>AND(Plants!Q223,"AAAAADMsH/8=")</f>
        <v>#VALUE!</v>
      </c>
    </row>
    <row r="32" spans="1:256">
      <c r="A32" t="str">
        <f>IF(Plants!224:224,"AAAAAHr9twA=",0)</f>
        <v>AAAAAHr9twA=</v>
      </c>
      <c r="B32" t="e">
        <f>AND(Plants!A224,"AAAAAHr9twE=")</f>
        <v>#VALUE!</v>
      </c>
      <c r="C32" t="e">
        <f>AND(Plants!B224,"AAAAAHr9twI=")</f>
        <v>#VALUE!</v>
      </c>
      <c r="D32" t="e">
        <f>AND(Plants!C224,"AAAAAHr9twM=")</f>
        <v>#VALUE!</v>
      </c>
      <c r="E32" t="e">
        <f>AND(Plants!D224,"AAAAAHr9twQ=")</f>
        <v>#VALUE!</v>
      </c>
      <c r="F32" t="e">
        <f>AND(Plants!E224,"AAAAAHr9twU=")</f>
        <v>#VALUE!</v>
      </c>
      <c r="G32" t="e">
        <f>AND(Plants!F224,"AAAAAHr9twY=")</f>
        <v>#VALUE!</v>
      </c>
      <c r="H32" t="e">
        <f>AND(Plants!G224,"AAAAAHr9twc=")</f>
        <v>#VALUE!</v>
      </c>
      <c r="I32" t="e">
        <f>AND(Plants!H224,"AAAAAHr9twg=")</f>
        <v>#VALUE!</v>
      </c>
      <c r="J32" t="e">
        <f>AND(Plants!I224,"AAAAAHr9twk=")</f>
        <v>#VALUE!</v>
      </c>
      <c r="K32" t="e">
        <f>AND(Plants!J224,"AAAAAHr9two=")</f>
        <v>#VALUE!</v>
      </c>
      <c r="L32" t="e">
        <f>AND(Plants!K224,"AAAAAHr9tws=")</f>
        <v>#VALUE!</v>
      </c>
      <c r="M32" t="e">
        <f>AND(Plants!L224,"AAAAAHr9tww=")</f>
        <v>#VALUE!</v>
      </c>
      <c r="N32" t="e">
        <f>AND(Plants!M224,"AAAAAHr9tw0=")</f>
        <v>#VALUE!</v>
      </c>
      <c r="O32" t="e">
        <f>AND(Plants!N224,"AAAAAHr9tw4=")</f>
        <v>#VALUE!</v>
      </c>
      <c r="P32" t="e">
        <f>AND(Plants!O224,"AAAAAHr9tw8=")</f>
        <v>#VALUE!</v>
      </c>
      <c r="Q32" t="e">
        <f>AND(Plants!P224,"AAAAAHr9txA=")</f>
        <v>#VALUE!</v>
      </c>
      <c r="R32" t="e">
        <f>AND(Plants!Q224,"AAAAAHr9txE=")</f>
        <v>#VALUE!</v>
      </c>
      <c r="S32">
        <f>IF(Plants!225:225,"AAAAAHr9txI=",0)</f>
        <v>0</v>
      </c>
      <c r="T32" t="e">
        <f>AND(Plants!A225,"AAAAAHr9txM=")</f>
        <v>#VALUE!</v>
      </c>
      <c r="U32" t="e">
        <f>AND(Plants!B225,"AAAAAHr9txQ=")</f>
        <v>#VALUE!</v>
      </c>
      <c r="V32" t="e">
        <f>AND(Plants!C225,"AAAAAHr9txU=")</f>
        <v>#VALUE!</v>
      </c>
      <c r="W32" t="e">
        <f>AND(Plants!D225,"AAAAAHr9txY=")</f>
        <v>#VALUE!</v>
      </c>
      <c r="X32" t="e">
        <f>AND(Plants!E225,"AAAAAHr9txc=")</f>
        <v>#VALUE!</v>
      </c>
      <c r="Y32" t="e">
        <f>AND(Plants!F225,"AAAAAHr9txg=")</f>
        <v>#VALUE!</v>
      </c>
      <c r="Z32" t="e">
        <f>AND(Plants!G225,"AAAAAHr9txk=")</f>
        <v>#VALUE!</v>
      </c>
      <c r="AA32" t="e">
        <f>AND(Plants!H225,"AAAAAHr9txo=")</f>
        <v>#VALUE!</v>
      </c>
      <c r="AB32" t="e">
        <f>AND(Plants!I225,"AAAAAHr9txs=")</f>
        <v>#VALUE!</v>
      </c>
      <c r="AC32" t="e">
        <f>AND(Plants!J225,"AAAAAHr9txw=")</f>
        <v>#VALUE!</v>
      </c>
      <c r="AD32" t="e">
        <f>AND(Plants!K225,"AAAAAHr9tx0=")</f>
        <v>#VALUE!</v>
      </c>
      <c r="AE32" t="e">
        <f>AND(Plants!L225,"AAAAAHr9tx4=")</f>
        <v>#VALUE!</v>
      </c>
      <c r="AF32" t="e">
        <f>AND(Plants!M225,"AAAAAHr9tx8=")</f>
        <v>#VALUE!</v>
      </c>
      <c r="AG32" t="e">
        <f>AND(Plants!N225,"AAAAAHr9tyA=")</f>
        <v>#VALUE!</v>
      </c>
      <c r="AH32" t="e">
        <f>AND(Plants!O225,"AAAAAHr9tyE=")</f>
        <v>#VALUE!</v>
      </c>
      <c r="AI32" t="e">
        <f>AND(Plants!P225,"AAAAAHr9tyI=")</f>
        <v>#VALUE!</v>
      </c>
      <c r="AJ32" t="e">
        <f>AND(Plants!Q225,"AAAAAHr9tyM=")</f>
        <v>#VALUE!</v>
      </c>
      <c r="AK32">
        <f>IF(Plants!226:226,"AAAAAHr9tyQ=",0)</f>
        <v>0</v>
      </c>
      <c r="AL32" t="e">
        <f>AND(Plants!A226,"AAAAAHr9tyU=")</f>
        <v>#VALUE!</v>
      </c>
      <c r="AM32" t="e">
        <f>AND(Plants!B226,"AAAAAHr9tyY=")</f>
        <v>#VALUE!</v>
      </c>
      <c r="AN32" t="e">
        <f>AND(Plants!C226,"AAAAAHr9tyc=")</f>
        <v>#VALUE!</v>
      </c>
      <c r="AO32" t="e">
        <f>AND(Plants!D226,"AAAAAHr9tyg=")</f>
        <v>#VALUE!</v>
      </c>
      <c r="AP32" t="e">
        <f>AND(Plants!E226,"AAAAAHr9tyk=")</f>
        <v>#VALUE!</v>
      </c>
      <c r="AQ32" t="e">
        <f>AND(Plants!F226,"AAAAAHr9tyo=")</f>
        <v>#VALUE!</v>
      </c>
      <c r="AR32" t="e">
        <f>AND(Plants!G226,"AAAAAHr9tys=")</f>
        <v>#VALUE!</v>
      </c>
      <c r="AS32" t="e">
        <f>AND(Plants!H226,"AAAAAHr9tyw=")</f>
        <v>#VALUE!</v>
      </c>
      <c r="AT32" t="e">
        <f>AND(Plants!I226,"AAAAAHr9ty0=")</f>
        <v>#VALUE!</v>
      </c>
      <c r="AU32" t="e">
        <f>AND(Plants!J226,"AAAAAHr9ty4=")</f>
        <v>#VALUE!</v>
      </c>
      <c r="AV32" t="e">
        <f>AND(Plants!K226,"AAAAAHr9ty8=")</f>
        <v>#VALUE!</v>
      </c>
      <c r="AW32" t="e">
        <f>AND(Plants!L226,"AAAAAHr9tzA=")</f>
        <v>#VALUE!</v>
      </c>
      <c r="AX32" t="e">
        <f>AND(Plants!M226,"AAAAAHr9tzE=")</f>
        <v>#VALUE!</v>
      </c>
      <c r="AY32" t="e">
        <f>AND(Plants!N226,"AAAAAHr9tzI=")</f>
        <v>#VALUE!</v>
      </c>
      <c r="AZ32" t="e">
        <f>AND(Plants!O226,"AAAAAHr9tzM=")</f>
        <v>#VALUE!</v>
      </c>
      <c r="BA32" t="e">
        <f>AND(Plants!P226,"AAAAAHr9tzQ=")</f>
        <v>#VALUE!</v>
      </c>
      <c r="BB32" t="e">
        <f>AND(Plants!Q226,"AAAAAHr9tzU=")</f>
        <v>#VALUE!</v>
      </c>
      <c r="BC32">
        <f>IF(Plants!227:227,"AAAAAHr9tzY=",0)</f>
        <v>0</v>
      </c>
      <c r="BD32" t="e">
        <f>AND(Plants!A227,"AAAAAHr9tzc=")</f>
        <v>#VALUE!</v>
      </c>
      <c r="BE32" t="e">
        <f>AND(Plants!B227,"AAAAAHr9tzg=")</f>
        <v>#VALUE!</v>
      </c>
      <c r="BF32" t="e">
        <f>AND(Plants!C227,"AAAAAHr9tzk=")</f>
        <v>#VALUE!</v>
      </c>
      <c r="BG32" t="e">
        <f>AND(Plants!D227,"AAAAAHr9tzo=")</f>
        <v>#VALUE!</v>
      </c>
      <c r="BH32" t="e">
        <f>AND(Plants!E227,"AAAAAHr9tzs=")</f>
        <v>#VALUE!</v>
      </c>
      <c r="BI32" t="e">
        <f>AND(Plants!F227,"AAAAAHr9tzw=")</f>
        <v>#VALUE!</v>
      </c>
      <c r="BJ32" t="e">
        <f>AND(Plants!G227,"AAAAAHr9tz0=")</f>
        <v>#VALUE!</v>
      </c>
      <c r="BK32" t="e">
        <f>AND(Plants!H227,"AAAAAHr9tz4=")</f>
        <v>#VALUE!</v>
      </c>
      <c r="BL32" t="e">
        <f>AND(Plants!I227,"AAAAAHr9tz8=")</f>
        <v>#VALUE!</v>
      </c>
      <c r="BM32" t="e">
        <f>AND(Plants!J227,"AAAAAHr9t0A=")</f>
        <v>#VALUE!</v>
      </c>
      <c r="BN32" t="e">
        <f>AND(Plants!K227,"AAAAAHr9t0E=")</f>
        <v>#VALUE!</v>
      </c>
      <c r="BO32" t="e">
        <f>AND(Plants!L227,"AAAAAHr9t0I=")</f>
        <v>#VALUE!</v>
      </c>
      <c r="BP32" t="e">
        <f>AND(Plants!M227,"AAAAAHr9t0M=")</f>
        <v>#VALUE!</v>
      </c>
      <c r="BQ32" t="e">
        <f>AND(Plants!N227,"AAAAAHr9t0Q=")</f>
        <v>#VALUE!</v>
      </c>
      <c r="BR32" t="e">
        <f>AND(Plants!O227,"AAAAAHr9t0U=")</f>
        <v>#VALUE!</v>
      </c>
      <c r="BS32" t="e">
        <f>AND(Plants!P227,"AAAAAHr9t0Y=")</f>
        <v>#VALUE!</v>
      </c>
      <c r="BT32" t="e">
        <f>AND(Plants!Q227,"AAAAAHr9t0c=")</f>
        <v>#VALUE!</v>
      </c>
      <c r="BU32">
        <f>IF(Plants!228:228,"AAAAAHr9t0g=",0)</f>
        <v>0</v>
      </c>
      <c r="BV32" t="e">
        <f>AND(Plants!A228,"AAAAAHr9t0k=")</f>
        <v>#VALUE!</v>
      </c>
      <c r="BW32" t="e">
        <f>AND(Plants!B228,"AAAAAHr9t0o=")</f>
        <v>#VALUE!</v>
      </c>
      <c r="BX32" t="e">
        <f>AND(Plants!C228,"AAAAAHr9t0s=")</f>
        <v>#VALUE!</v>
      </c>
      <c r="BY32" t="e">
        <f>AND(Plants!D228,"AAAAAHr9t0w=")</f>
        <v>#VALUE!</v>
      </c>
      <c r="BZ32" t="e">
        <f>AND(Plants!E228,"AAAAAHr9t00=")</f>
        <v>#VALUE!</v>
      </c>
      <c r="CA32" t="e">
        <f>AND(Plants!F228,"AAAAAHr9t04=")</f>
        <v>#VALUE!</v>
      </c>
      <c r="CB32" t="e">
        <f>AND(Plants!G228,"AAAAAHr9t08=")</f>
        <v>#VALUE!</v>
      </c>
      <c r="CC32" t="e">
        <f>AND(Plants!H228,"AAAAAHr9t1A=")</f>
        <v>#VALUE!</v>
      </c>
      <c r="CD32" t="e">
        <f>AND(Plants!I228,"AAAAAHr9t1E=")</f>
        <v>#VALUE!</v>
      </c>
      <c r="CE32" t="e">
        <f>AND(Plants!J228,"AAAAAHr9t1I=")</f>
        <v>#VALUE!</v>
      </c>
      <c r="CF32" t="e">
        <f>AND(Plants!K228,"AAAAAHr9t1M=")</f>
        <v>#VALUE!</v>
      </c>
      <c r="CG32" t="e">
        <f>AND(Plants!L228,"AAAAAHr9t1Q=")</f>
        <v>#VALUE!</v>
      </c>
      <c r="CH32" t="e">
        <f>AND(Plants!M228,"AAAAAHr9t1U=")</f>
        <v>#VALUE!</v>
      </c>
      <c r="CI32" t="e">
        <f>AND(Plants!N228,"AAAAAHr9t1Y=")</f>
        <v>#VALUE!</v>
      </c>
      <c r="CJ32" t="e">
        <f>AND(Plants!O228,"AAAAAHr9t1c=")</f>
        <v>#VALUE!</v>
      </c>
      <c r="CK32" t="e">
        <f>AND(Plants!P228,"AAAAAHr9t1g=")</f>
        <v>#VALUE!</v>
      </c>
      <c r="CL32" t="e">
        <f>AND(Plants!Q228,"AAAAAHr9t1k=")</f>
        <v>#VALUE!</v>
      </c>
      <c r="CM32">
        <f>IF(Plants!229:229,"AAAAAHr9t1o=",0)</f>
        <v>0</v>
      </c>
      <c r="CN32" t="e">
        <f>AND(Plants!A229,"AAAAAHr9t1s=")</f>
        <v>#VALUE!</v>
      </c>
      <c r="CO32" t="e">
        <f>AND(Plants!B229,"AAAAAHr9t1w=")</f>
        <v>#VALUE!</v>
      </c>
      <c r="CP32" t="e">
        <f>AND(Plants!C229,"AAAAAHr9t10=")</f>
        <v>#VALUE!</v>
      </c>
      <c r="CQ32" t="e">
        <f>AND(Plants!D229,"AAAAAHr9t14=")</f>
        <v>#VALUE!</v>
      </c>
      <c r="CR32" t="e">
        <f>AND(Plants!E229,"AAAAAHr9t18=")</f>
        <v>#VALUE!</v>
      </c>
      <c r="CS32" t="e">
        <f>AND(Plants!F229,"AAAAAHr9t2A=")</f>
        <v>#VALUE!</v>
      </c>
      <c r="CT32" t="e">
        <f>AND(Plants!G229,"AAAAAHr9t2E=")</f>
        <v>#VALUE!</v>
      </c>
      <c r="CU32" t="e">
        <f>AND(Plants!H229,"AAAAAHr9t2I=")</f>
        <v>#VALUE!</v>
      </c>
      <c r="CV32" t="e">
        <f>AND(Plants!I229,"AAAAAHr9t2M=")</f>
        <v>#VALUE!</v>
      </c>
      <c r="CW32" t="e">
        <f>AND(Plants!J229,"AAAAAHr9t2Q=")</f>
        <v>#VALUE!</v>
      </c>
      <c r="CX32" t="e">
        <f>AND(Plants!K229,"AAAAAHr9t2U=")</f>
        <v>#VALUE!</v>
      </c>
      <c r="CY32" t="e">
        <f>AND(Plants!L229,"AAAAAHr9t2Y=")</f>
        <v>#VALUE!</v>
      </c>
      <c r="CZ32" t="e">
        <f>AND(Plants!M229,"AAAAAHr9t2c=")</f>
        <v>#VALUE!</v>
      </c>
      <c r="DA32" t="e">
        <f>AND(Plants!N229,"AAAAAHr9t2g=")</f>
        <v>#VALUE!</v>
      </c>
      <c r="DB32" t="e">
        <f>AND(Plants!O229,"AAAAAHr9t2k=")</f>
        <v>#VALUE!</v>
      </c>
      <c r="DC32" t="e">
        <f>AND(Plants!P229,"AAAAAHr9t2o=")</f>
        <v>#VALUE!</v>
      </c>
      <c r="DD32" t="e">
        <f>AND(Plants!Q229,"AAAAAHr9t2s=")</f>
        <v>#VALUE!</v>
      </c>
      <c r="DE32">
        <f>IF(Plants!230:230,"AAAAAHr9t2w=",0)</f>
        <v>0</v>
      </c>
      <c r="DF32" t="e">
        <f>AND(Plants!A230,"AAAAAHr9t20=")</f>
        <v>#VALUE!</v>
      </c>
      <c r="DG32" t="e">
        <f>AND(Plants!B230,"AAAAAHr9t24=")</f>
        <v>#VALUE!</v>
      </c>
      <c r="DH32" t="e">
        <f>AND(Plants!C230,"AAAAAHr9t28=")</f>
        <v>#VALUE!</v>
      </c>
      <c r="DI32" t="e">
        <f>AND(Plants!D230,"AAAAAHr9t3A=")</f>
        <v>#VALUE!</v>
      </c>
      <c r="DJ32" t="e">
        <f>AND(Plants!E230,"AAAAAHr9t3E=")</f>
        <v>#VALUE!</v>
      </c>
      <c r="DK32" t="e">
        <f>AND(Plants!F230,"AAAAAHr9t3I=")</f>
        <v>#VALUE!</v>
      </c>
      <c r="DL32" t="e">
        <f>AND(Plants!G230,"AAAAAHr9t3M=")</f>
        <v>#VALUE!</v>
      </c>
      <c r="DM32" t="e">
        <f>AND(Plants!H230,"AAAAAHr9t3Q=")</f>
        <v>#VALUE!</v>
      </c>
      <c r="DN32" t="e">
        <f>AND(Plants!I230,"AAAAAHr9t3U=")</f>
        <v>#VALUE!</v>
      </c>
      <c r="DO32" t="e">
        <f>AND(Plants!J230,"AAAAAHr9t3Y=")</f>
        <v>#VALUE!</v>
      </c>
      <c r="DP32" t="e">
        <f>AND(Plants!K230,"AAAAAHr9t3c=")</f>
        <v>#VALUE!</v>
      </c>
      <c r="DQ32" t="e">
        <f>AND(Plants!L230,"AAAAAHr9t3g=")</f>
        <v>#VALUE!</v>
      </c>
      <c r="DR32" t="e">
        <f>AND(Plants!M230,"AAAAAHr9t3k=")</f>
        <v>#VALUE!</v>
      </c>
      <c r="DS32" t="e">
        <f>AND(Plants!N230,"AAAAAHr9t3o=")</f>
        <v>#VALUE!</v>
      </c>
      <c r="DT32" t="e">
        <f>AND(Plants!O230,"AAAAAHr9t3s=")</f>
        <v>#VALUE!</v>
      </c>
      <c r="DU32" t="e">
        <f>AND(Plants!P230,"AAAAAHr9t3w=")</f>
        <v>#VALUE!</v>
      </c>
      <c r="DV32" t="e">
        <f>AND(Plants!Q230,"AAAAAHr9t30=")</f>
        <v>#VALUE!</v>
      </c>
      <c r="DW32">
        <f>IF(Plants!231:231,"AAAAAHr9t34=",0)</f>
        <v>0</v>
      </c>
      <c r="DX32" t="e">
        <f>AND(Plants!A231,"AAAAAHr9t38=")</f>
        <v>#VALUE!</v>
      </c>
      <c r="DY32" t="e">
        <f>AND(Plants!B231,"AAAAAHr9t4A=")</f>
        <v>#VALUE!</v>
      </c>
      <c r="DZ32" t="e">
        <f>AND(Plants!C231,"AAAAAHr9t4E=")</f>
        <v>#VALUE!</v>
      </c>
      <c r="EA32" t="e">
        <f>AND(Plants!D231,"AAAAAHr9t4I=")</f>
        <v>#VALUE!</v>
      </c>
      <c r="EB32" t="e">
        <f>AND(Plants!E231,"AAAAAHr9t4M=")</f>
        <v>#VALUE!</v>
      </c>
      <c r="EC32" t="e">
        <f>AND(Plants!F231,"AAAAAHr9t4Q=")</f>
        <v>#VALUE!</v>
      </c>
      <c r="ED32" t="e">
        <f>AND(Plants!G231,"AAAAAHr9t4U=")</f>
        <v>#VALUE!</v>
      </c>
      <c r="EE32" t="e">
        <f>AND(Plants!H231,"AAAAAHr9t4Y=")</f>
        <v>#VALUE!</v>
      </c>
      <c r="EF32" t="e">
        <f>AND(Plants!I231,"AAAAAHr9t4c=")</f>
        <v>#VALUE!</v>
      </c>
      <c r="EG32" t="e">
        <f>AND(Plants!J231,"AAAAAHr9t4g=")</f>
        <v>#VALUE!</v>
      </c>
      <c r="EH32" t="e">
        <f>AND(Plants!K231,"AAAAAHr9t4k=")</f>
        <v>#VALUE!</v>
      </c>
      <c r="EI32" t="e">
        <f>AND(Plants!L231,"AAAAAHr9t4o=")</f>
        <v>#VALUE!</v>
      </c>
      <c r="EJ32" t="e">
        <f>AND(Plants!M231,"AAAAAHr9t4s=")</f>
        <v>#VALUE!</v>
      </c>
      <c r="EK32" t="e">
        <f>AND(Plants!N231,"AAAAAHr9t4w=")</f>
        <v>#VALUE!</v>
      </c>
      <c r="EL32" t="e">
        <f>AND(Plants!O231,"AAAAAHr9t40=")</f>
        <v>#VALUE!</v>
      </c>
      <c r="EM32" t="e">
        <f>AND(Plants!P231,"AAAAAHr9t44=")</f>
        <v>#VALUE!</v>
      </c>
      <c r="EN32" t="e">
        <f>AND(Plants!Q231,"AAAAAHr9t48=")</f>
        <v>#VALUE!</v>
      </c>
      <c r="EO32">
        <f>IF(Plants!232:232,"AAAAAHr9t5A=",0)</f>
        <v>0</v>
      </c>
      <c r="EP32" t="e">
        <f>AND(Plants!A232,"AAAAAHr9t5E=")</f>
        <v>#VALUE!</v>
      </c>
      <c r="EQ32" t="e">
        <f>AND(Plants!B232,"AAAAAHr9t5I=")</f>
        <v>#VALUE!</v>
      </c>
      <c r="ER32" t="e">
        <f>AND(Plants!C232,"AAAAAHr9t5M=")</f>
        <v>#VALUE!</v>
      </c>
      <c r="ES32" t="e">
        <f>AND(Plants!D232,"AAAAAHr9t5Q=")</f>
        <v>#VALUE!</v>
      </c>
      <c r="ET32" t="e">
        <f>AND(Plants!E232,"AAAAAHr9t5U=")</f>
        <v>#VALUE!</v>
      </c>
      <c r="EU32" t="e">
        <f>AND(Plants!F232,"AAAAAHr9t5Y=")</f>
        <v>#VALUE!</v>
      </c>
      <c r="EV32" t="e">
        <f>AND(Plants!G232,"AAAAAHr9t5c=")</f>
        <v>#VALUE!</v>
      </c>
      <c r="EW32" t="e">
        <f>AND(Plants!H232,"AAAAAHr9t5g=")</f>
        <v>#VALUE!</v>
      </c>
      <c r="EX32" t="e">
        <f>AND(Plants!I232,"AAAAAHr9t5k=")</f>
        <v>#VALUE!</v>
      </c>
      <c r="EY32" t="e">
        <f>AND(Plants!J232,"AAAAAHr9t5o=")</f>
        <v>#VALUE!</v>
      </c>
      <c r="EZ32" t="e">
        <f>AND(Plants!K232,"AAAAAHr9t5s=")</f>
        <v>#VALUE!</v>
      </c>
      <c r="FA32" t="e">
        <f>AND(Plants!L232,"AAAAAHr9t5w=")</f>
        <v>#VALUE!</v>
      </c>
      <c r="FB32" t="e">
        <f>AND(Plants!M232,"AAAAAHr9t50=")</f>
        <v>#VALUE!</v>
      </c>
      <c r="FC32" t="e">
        <f>AND(Plants!N232,"AAAAAHr9t54=")</f>
        <v>#VALUE!</v>
      </c>
      <c r="FD32" t="e">
        <f>AND(Plants!O232,"AAAAAHr9t58=")</f>
        <v>#VALUE!</v>
      </c>
      <c r="FE32" t="e">
        <f>AND(Plants!P232,"AAAAAHr9t6A=")</f>
        <v>#VALUE!</v>
      </c>
      <c r="FF32" t="e">
        <f>AND(Plants!Q232,"AAAAAHr9t6E=")</f>
        <v>#VALUE!</v>
      </c>
      <c r="FG32">
        <f>IF(Plants!233:233,"AAAAAHr9t6I=",0)</f>
        <v>0</v>
      </c>
      <c r="FH32" t="e">
        <f>AND(Plants!A233,"AAAAAHr9t6M=")</f>
        <v>#VALUE!</v>
      </c>
      <c r="FI32" t="e">
        <f>AND(Plants!B233,"AAAAAHr9t6Q=")</f>
        <v>#VALUE!</v>
      </c>
      <c r="FJ32" t="e">
        <f>AND(Plants!C233,"AAAAAHr9t6U=")</f>
        <v>#VALUE!</v>
      </c>
      <c r="FK32" t="e">
        <f>AND(Plants!D233,"AAAAAHr9t6Y=")</f>
        <v>#VALUE!</v>
      </c>
      <c r="FL32" t="e">
        <f>AND(Plants!E233,"AAAAAHr9t6c=")</f>
        <v>#VALUE!</v>
      </c>
      <c r="FM32" t="e">
        <f>AND(Plants!F233,"AAAAAHr9t6g=")</f>
        <v>#VALUE!</v>
      </c>
      <c r="FN32" t="e">
        <f>AND(Plants!G233,"AAAAAHr9t6k=")</f>
        <v>#VALUE!</v>
      </c>
      <c r="FO32" t="e">
        <f>AND(Plants!H233,"AAAAAHr9t6o=")</f>
        <v>#VALUE!</v>
      </c>
      <c r="FP32" t="e">
        <f>AND(Plants!I233,"AAAAAHr9t6s=")</f>
        <v>#VALUE!</v>
      </c>
      <c r="FQ32" t="e">
        <f>AND(Plants!J233,"AAAAAHr9t6w=")</f>
        <v>#VALUE!</v>
      </c>
      <c r="FR32" t="e">
        <f>AND(Plants!K233,"AAAAAHr9t60=")</f>
        <v>#VALUE!</v>
      </c>
      <c r="FS32" t="e">
        <f>AND(Plants!L233,"AAAAAHr9t64=")</f>
        <v>#VALUE!</v>
      </c>
      <c r="FT32" t="e">
        <f>AND(Plants!M233,"AAAAAHr9t68=")</f>
        <v>#VALUE!</v>
      </c>
      <c r="FU32" t="e">
        <f>AND(Plants!N233,"AAAAAHr9t7A=")</f>
        <v>#VALUE!</v>
      </c>
      <c r="FV32" t="e">
        <f>AND(Plants!O233,"AAAAAHr9t7E=")</f>
        <v>#VALUE!</v>
      </c>
      <c r="FW32" t="e">
        <f>AND(Plants!P233,"AAAAAHr9t7I=")</f>
        <v>#VALUE!</v>
      </c>
      <c r="FX32" t="e">
        <f>AND(Plants!Q233,"AAAAAHr9t7M=")</f>
        <v>#VALUE!</v>
      </c>
      <c r="FY32">
        <f>IF(Plants!234:234,"AAAAAHr9t7Q=",0)</f>
        <v>0</v>
      </c>
      <c r="FZ32" t="e">
        <f>AND(Plants!A234,"AAAAAHr9t7U=")</f>
        <v>#VALUE!</v>
      </c>
      <c r="GA32" t="e">
        <f>AND(Plants!B234,"AAAAAHr9t7Y=")</f>
        <v>#VALUE!</v>
      </c>
      <c r="GB32" t="e">
        <f>AND(Plants!C234,"AAAAAHr9t7c=")</f>
        <v>#VALUE!</v>
      </c>
      <c r="GC32" t="e">
        <f>AND(Plants!D234,"AAAAAHr9t7g=")</f>
        <v>#VALUE!</v>
      </c>
      <c r="GD32" t="e">
        <f>AND(Plants!E234,"AAAAAHr9t7k=")</f>
        <v>#VALUE!</v>
      </c>
      <c r="GE32" t="e">
        <f>AND(Plants!F234,"AAAAAHr9t7o=")</f>
        <v>#VALUE!</v>
      </c>
      <c r="GF32" t="e">
        <f>AND(Plants!G234,"AAAAAHr9t7s=")</f>
        <v>#VALUE!</v>
      </c>
      <c r="GG32" t="e">
        <f>AND(Plants!H234,"AAAAAHr9t7w=")</f>
        <v>#VALUE!</v>
      </c>
      <c r="GH32" t="e">
        <f>AND(Plants!I234,"AAAAAHr9t70=")</f>
        <v>#VALUE!</v>
      </c>
      <c r="GI32" t="e">
        <f>AND(Plants!J234,"AAAAAHr9t74=")</f>
        <v>#VALUE!</v>
      </c>
      <c r="GJ32" t="e">
        <f>AND(Plants!K234,"AAAAAHr9t78=")</f>
        <v>#VALUE!</v>
      </c>
      <c r="GK32" t="e">
        <f>AND(Plants!L234,"AAAAAHr9t8A=")</f>
        <v>#VALUE!</v>
      </c>
      <c r="GL32" t="e">
        <f>AND(Plants!M234,"AAAAAHr9t8E=")</f>
        <v>#VALUE!</v>
      </c>
      <c r="GM32" t="e">
        <f>AND(Plants!N234,"AAAAAHr9t8I=")</f>
        <v>#VALUE!</v>
      </c>
      <c r="GN32" t="e">
        <f>AND(Plants!O234,"AAAAAHr9t8M=")</f>
        <v>#VALUE!</v>
      </c>
      <c r="GO32" t="e">
        <f>AND(Plants!P234,"AAAAAHr9t8Q=")</f>
        <v>#VALUE!</v>
      </c>
      <c r="GP32" t="e">
        <f>AND(Plants!Q234,"AAAAAHr9t8U=")</f>
        <v>#VALUE!</v>
      </c>
      <c r="GQ32">
        <f>IF(Plants!235:235,"AAAAAHr9t8Y=",0)</f>
        <v>0</v>
      </c>
      <c r="GR32" t="e">
        <f>AND(Plants!A235,"AAAAAHr9t8c=")</f>
        <v>#VALUE!</v>
      </c>
      <c r="GS32" t="e">
        <f>AND(Plants!B235,"AAAAAHr9t8g=")</f>
        <v>#VALUE!</v>
      </c>
      <c r="GT32" t="e">
        <f>AND(Plants!C235,"AAAAAHr9t8k=")</f>
        <v>#VALUE!</v>
      </c>
      <c r="GU32" t="e">
        <f>AND(Plants!D235,"AAAAAHr9t8o=")</f>
        <v>#VALUE!</v>
      </c>
      <c r="GV32" t="e">
        <f>AND(Plants!E235,"AAAAAHr9t8s=")</f>
        <v>#VALUE!</v>
      </c>
      <c r="GW32" t="e">
        <f>AND(Plants!F235,"AAAAAHr9t8w=")</f>
        <v>#VALUE!</v>
      </c>
      <c r="GX32" t="e">
        <f>AND(Plants!G235,"AAAAAHr9t80=")</f>
        <v>#VALUE!</v>
      </c>
      <c r="GY32" t="e">
        <f>AND(Plants!H235,"AAAAAHr9t84=")</f>
        <v>#VALUE!</v>
      </c>
      <c r="GZ32" t="e">
        <f>AND(Plants!I235,"AAAAAHr9t88=")</f>
        <v>#VALUE!</v>
      </c>
      <c r="HA32" t="e">
        <f>AND(Plants!J235,"AAAAAHr9t9A=")</f>
        <v>#VALUE!</v>
      </c>
      <c r="HB32" t="e">
        <f>AND(Plants!K235,"AAAAAHr9t9E=")</f>
        <v>#VALUE!</v>
      </c>
      <c r="HC32" t="e">
        <f>AND(Plants!L235,"AAAAAHr9t9I=")</f>
        <v>#VALUE!</v>
      </c>
      <c r="HD32" t="e">
        <f>AND(Plants!M235,"AAAAAHr9t9M=")</f>
        <v>#VALUE!</v>
      </c>
      <c r="HE32" t="e">
        <f>AND(Plants!N235,"AAAAAHr9t9Q=")</f>
        <v>#VALUE!</v>
      </c>
      <c r="HF32" t="e">
        <f>AND(Plants!O235,"AAAAAHr9t9U=")</f>
        <v>#VALUE!</v>
      </c>
      <c r="HG32" t="e">
        <f>AND(Plants!P235,"AAAAAHr9t9Y=")</f>
        <v>#VALUE!</v>
      </c>
      <c r="HH32" t="e">
        <f>AND(Plants!Q235,"AAAAAHr9t9c=")</f>
        <v>#VALUE!</v>
      </c>
      <c r="HI32">
        <f>IF(Plants!236:236,"AAAAAHr9t9g=",0)</f>
        <v>0</v>
      </c>
      <c r="HJ32" t="e">
        <f>AND(Plants!A236,"AAAAAHr9t9k=")</f>
        <v>#VALUE!</v>
      </c>
      <c r="HK32" t="e">
        <f>AND(Plants!B236,"AAAAAHr9t9o=")</f>
        <v>#VALUE!</v>
      </c>
      <c r="HL32" t="e">
        <f>AND(Plants!C236,"AAAAAHr9t9s=")</f>
        <v>#VALUE!</v>
      </c>
      <c r="HM32" t="e">
        <f>AND(Plants!D236,"AAAAAHr9t9w=")</f>
        <v>#VALUE!</v>
      </c>
      <c r="HN32" t="e">
        <f>AND(Plants!E236,"AAAAAHr9t90=")</f>
        <v>#VALUE!</v>
      </c>
      <c r="HO32" t="e">
        <f>AND(Plants!F236,"AAAAAHr9t94=")</f>
        <v>#VALUE!</v>
      </c>
      <c r="HP32" t="e">
        <f>AND(Plants!G236,"AAAAAHr9t98=")</f>
        <v>#VALUE!</v>
      </c>
      <c r="HQ32" t="e">
        <f>AND(Plants!H236,"AAAAAHr9t+A=")</f>
        <v>#VALUE!</v>
      </c>
      <c r="HR32" t="e">
        <f>AND(Plants!I236,"AAAAAHr9t+E=")</f>
        <v>#VALUE!</v>
      </c>
      <c r="HS32" t="e">
        <f>AND(Plants!J236,"AAAAAHr9t+I=")</f>
        <v>#VALUE!</v>
      </c>
      <c r="HT32" t="e">
        <f>AND(Plants!K236,"AAAAAHr9t+M=")</f>
        <v>#VALUE!</v>
      </c>
      <c r="HU32" t="e">
        <f>AND(Plants!L236,"AAAAAHr9t+Q=")</f>
        <v>#VALUE!</v>
      </c>
      <c r="HV32" t="e">
        <f>AND(Plants!M236,"AAAAAHr9t+U=")</f>
        <v>#VALUE!</v>
      </c>
      <c r="HW32" t="e">
        <f>AND(Plants!N236,"AAAAAHr9t+Y=")</f>
        <v>#VALUE!</v>
      </c>
      <c r="HX32" t="e">
        <f>AND(Plants!O236,"AAAAAHr9t+c=")</f>
        <v>#VALUE!</v>
      </c>
      <c r="HY32" t="e">
        <f>AND(Plants!P236,"AAAAAHr9t+g=")</f>
        <v>#VALUE!</v>
      </c>
      <c r="HZ32" t="e">
        <f>AND(Plants!Q236,"AAAAAHr9t+k=")</f>
        <v>#VALUE!</v>
      </c>
      <c r="IA32">
        <f>IF(Plants!237:237,"AAAAAHr9t+o=",0)</f>
        <v>0</v>
      </c>
      <c r="IB32" t="e">
        <f>AND(Plants!A237,"AAAAAHr9t+s=")</f>
        <v>#VALUE!</v>
      </c>
      <c r="IC32" t="e">
        <f>AND(Plants!B237,"AAAAAHr9t+w=")</f>
        <v>#VALUE!</v>
      </c>
      <c r="ID32" t="e">
        <f>AND(Plants!C237,"AAAAAHr9t+0=")</f>
        <v>#VALUE!</v>
      </c>
      <c r="IE32" t="e">
        <f>AND(Plants!D237,"AAAAAHr9t+4=")</f>
        <v>#VALUE!</v>
      </c>
      <c r="IF32" t="e">
        <f>AND(Plants!E237,"AAAAAHr9t+8=")</f>
        <v>#VALUE!</v>
      </c>
      <c r="IG32" t="e">
        <f>AND(Plants!F237,"AAAAAHr9t/A=")</f>
        <v>#VALUE!</v>
      </c>
      <c r="IH32" t="e">
        <f>AND(Plants!G237,"AAAAAHr9t/E=")</f>
        <v>#VALUE!</v>
      </c>
      <c r="II32" t="e">
        <f>AND(Plants!H237,"AAAAAHr9t/I=")</f>
        <v>#VALUE!</v>
      </c>
      <c r="IJ32" t="e">
        <f>AND(Plants!I237,"AAAAAHr9t/M=")</f>
        <v>#VALUE!</v>
      </c>
      <c r="IK32" t="e">
        <f>AND(Plants!J237,"AAAAAHr9t/Q=")</f>
        <v>#VALUE!</v>
      </c>
      <c r="IL32" t="e">
        <f>AND(Plants!K237,"AAAAAHr9t/U=")</f>
        <v>#VALUE!</v>
      </c>
      <c r="IM32" t="e">
        <f>AND(Plants!L237,"AAAAAHr9t/Y=")</f>
        <v>#VALUE!</v>
      </c>
      <c r="IN32" t="e">
        <f>AND(Plants!M237,"AAAAAHr9t/c=")</f>
        <v>#VALUE!</v>
      </c>
      <c r="IO32" t="e">
        <f>AND(Plants!N237,"AAAAAHr9t/g=")</f>
        <v>#VALUE!</v>
      </c>
      <c r="IP32" t="e">
        <f>AND(Plants!O237,"AAAAAHr9t/k=")</f>
        <v>#VALUE!</v>
      </c>
      <c r="IQ32" t="e">
        <f>AND(Plants!P237,"AAAAAHr9t/o=")</f>
        <v>#VALUE!</v>
      </c>
      <c r="IR32" t="e">
        <f>AND(Plants!Q237,"AAAAAHr9t/s=")</f>
        <v>#VALUE!</v>
      </c>
      <c r="IS32">
        <f>IF(Plants!238:238,"AAAAAHr9t/w=",0)</f>
        <v>0</v>
      </c>
      <c r="IT32" t="e">
        <f>AND(Plants!A238,"AAAAAHr9t/0=")</f>
        <v>#VALUE!</v>
      </c>
      <c r="IU32" t="e">
        <f>AND(Plants!B238,"AAAAAHr9t/4=")</f>
        <v>#VALUE!</v>
      </c>
      <c r="IV32" t="e">
        <f>AND(Plants!C238,"AAAAAHr9t/8=")</f>
        <v>#VALUE!</v>
      </c>
    </row>
    <row r="33" spans="1:256">
      <c r="A33" t="e">
        <f>AND(Plants!D238,"AAAAAH+7PQA=")</f>
        <v>#VALUE!</v>
      </c>
      <c r="B33" t="e">
        <f>AND(Plants!E238,"AAAAAH+7PQE=")</f>
        <v>#VALUE!</v>
      </c>
      <c r="C33" t="e">
        <f>AND(Plants!F238,"AAAAAH+7PQI=")</f>
        <v>#VALUE!</v>
      </c>
      <c r="D33" t="e">
        <f>AND(Plants!G238,"AAAAAH+7PQM=")</f>
        <v>#VALUE!</v>
      </c>
      <c r="E33" t="e">
        <f>AND(Plants!H238,"AAAAAH+7PQQ=")</f>
        <v>#VALUE!</v>
      </c>
      <c r="F33" t="e">
        <f>AND(Plants!I238,"AAAAAH+7PQU=")</f>
        <v>#VALUE!</v>
      </c>
      <c r="G33" t="e">
        <f>AND(Plants!J238,"AAAAAH+7PQY=")</f>
        <v>#VALUE!</v>
      </c>
      <c r="H33" t="e">
        <f>AND(Plants!K238,"AAAAAH+7PQc=")</f>
        <v>#VALUE!</v>
      </c>
      <c r="I33" t="e">
        <f>AND(Plants!L238,"AAAAAH+7PQg=")</f>
        <v>#VALUE!</v>
      </c>
      <c r="J33" t="e">
        <f>AND(Plants!M238,"AAAAAH+7PQk=")</f>
        <v>#VALUE!</v>
      </c>
      <c r="K33" t="e">
        <f>AND(Plants!N238,"AAAAAH+7PQo=")</f>
        <v>#VALUE!</v>
      </c>
      <c r="L33" t="e">
        <f>AND(Plants!O238,"AAAAAH+7PQs=")</f>
        <v>#VALUE!</v>
      </c>
      <c r="M33" t="e">
        <f>AND(Plants!P238,"AAAAAH+7PQw=")</f>
        <v>#VALUE!</v>
      </c>
      <c r="N33" t="e">
        <f>AND(Plants!Q238,"AAAAAH+7PQ0=")</f>
        <v>#VALUE!</v>
      </c>
      <c r="O33">
        <f>IF(Plants!239:239,"AAAAAH+7PQ4=",0)</f>
        <v>0</v>
      </c>
      <c r="P33" t="e">
        <f>AND(Plants!A239,"AAAAAH+7PQ8=")</f>
        <v>#VALUE!</v>
      </c>
      <c r="Q33" t="e">
        <f>AND(Plants!B239,"AAAAAH+7PRA=")</f>
        <v>#VALUE!</v>
      </c>
      <c r="R33" t="e">
        <f>AND(Plants!C239,"AAAAAH+7PRE=")</f>
        <v>#VALUE!</v>
      </c>
      <c r="S33" t="e">
        <f>AND(Plants!D239,"AAAAAH+7PRI=")</f>
        <v>#VALUE!</v>
      </c>
      <c r="T33" t="e">
        <f>AND(Plants!E239,"AAAAAH+7PRM=")</f>
        <v>#VALUE!</v>
      </c>
      <c r="U33" t="e">
        <f>AND(Plants!F239,"AAAAAH+7PRQ=")</f>
        <v>#VALUE!</v>
      </c>
      <c r="V33" t="e">
        <f>AND(Plants!G239,"AAAAAH+7PRU=")</f>
        <v>#VALUE!</v>
      </c>
      <c r="W33" t="e">
        <f>AND(Plants!H239,"AAAAAH+7PRY=")</f>
        <v>#VALUE!</v>
      </c>
      <c r="X33" t="e">
        <f>AND(Plants!I239,"AAAAAH+7PRc=")</f>
        <v>#VALUE!</v>
      </c>
      <c r="Y33" t="e">
        <f>AND(Plants!J239,"AAAAAH+7PRg=")</f>
        <v>#VALUE!</v>
      </c>
      <c r="Z33" t="e">
        <f>AND(Plants!K239,"AAAAAH+7PRk=")</f>
        <v>#VALUE!</v>
      </c>
      <c r="AA33" t="e">
        <f>AND(Plants!L239,"AAAAAH+7PRo=")</f>
        <v>#VALUE!</v>
      </c>
      <c r="AB33" t="e">
        <f>AND(Plants!M239,"AAAAAH+7PRs=")</f>
        <v>#VALUE!</v>
      </c>
      <c r="AC33" t="e">
        <f>AND(Plants!N239,"AAAAAH+7PRw=")</f>
        <v>#VALUE!</v>
      </c>
      <c r="AD33" t="e">
        <f>AND(Plants!O239,"AAAAAH+7PR0=")</f>
        <v>#VALUE!</v>
      </c>
      <c r="AE33" t="e">
        <f>AND(Plants!P239,"AAAAAH+7PR4=")</f>
        <v>#VALUE!</v>
      </c>
      <c r="AF33" t="e">
        <f>AND(Plants!Q239,"AAAAAH+7PR8=")</f>
        <v>#VALUE!</v>
      </c>
      <c r="AG33">
        <f>IF(Plants!240:240,"AAAAAH+7PSA=",0)</f>
        <v>0</v>
      </c>
      <c r="AH33" t="e">
        <f>AND(Plants!A240,"AAAAAH+7PSE=")</f>
        <v>#VALUE!</v>
      </c>
      <c r="AI33" t="e">
        <f>AND(Plants!B240,"AAAAAH+7PSI=")</f>
        <v>#VALUE!</v>
      </c>
      <c r="AJ33" t="e">
        <f>AND(Plants!C240,"AAAAAH+7PSM=")</f>
        <v>#VALUE!</v>
      </c>
      <c r="AK33" t="e">
        <f>AND(Plants!D240,"AAAAAH+7PSQ=")</f>
        <v>#VALUE!</v>
      </c>
      <c r="AL33" t="e">
        <f>AND(Plants!E240,"AAAAAH+7PSU=")</f>
        <v>#VALUE!</v>
      </c>
      <c r="AM33" t="e">
        <f>AND(Plants!F240,"AAAAAH+7PSY=")</f>
        <v>#VALUE!</v>
      </c>
      <c r="AN33" t="e">
        <f>AND(Plants!G240,"AAAAAH+7PSc=")</f>
        <v>#VALUE!</v>
      </c>
      <c r="AO33" t="e">
        <f>AND(Plants!H240,"AAAAAH+7PSg=")</f>
        <v>#VALUE!</v>
      </c>
      <c r="AP33" t="e">
        <f>AND(Plants!I240,"AAAAAH+7PSk=")</f>
        <v>#VALUE!</v>
      </c>
      <c r="AQ33" t="e">
        <f>AND(Plants!J240,"AAAAAH+7PSo=")</f>
        <v>#VALUE!</v>
      </c>
      <c r="AR33" t="e">
        <f>AND(Plants!K240,"AAAAAH+7PSs=")</f>
        <v>#VALUE!</v>
      </c>
      <c r="AS33" t="e">
        <f>AND(Plants!L240,"AAAAAH+7PSw=")</f>
        <v>#VALUE!</v>
      </c>
      <c r="AT33" t="e">
        <f>AND(Plants!M240,"AAAAAH+7PS0=")</f>
        <v>#VALUE!</v>
      </c>
      <c r="AU33" t="e">
        <f>AND(Plants!N240,"AAAAAH+7PS4=")</f>
        <v>#VALUE!</v>
      </c>
      <c r="AV33" t="e">
        <f>AND(Plants!O240,"AAAAAH+7PS8=")</f>
        <v>#VALUE!</v>
      </c>
      <c r="AW33" t="e">
        <f>AND(Plants!P240,"AAAAAH+7PTA=")</f>
        <v>#VALUE!</v>
      </c>
      <c r="AX33" t="e">
        <f>AND(Plants!Q240,"AAAAAH+7PTE=")</f>
        <v>#VALUE!</v>
      </c>
      <c r="AY33">
        <f>IF(Plants!241:241,"AAAAAH+7PTI=",0)</f>
        <v>0</v>
      </c>
      <c r="AZ33" t="e">
        <f>AND(Plants!A241,"AAAAAH+7PTM=")</f>
        <v>#VALUE!</v>
      </c>
      <c r="BA33" t="e">
        <f>AND(Plants!B241,"AAAAAH+7PTQ=")</f>
        <v>#VALUE!</v>
      </c>
      <c r="BB33" t="e">
        <f>AND(Plants!C241,"AAAAAH+7PTU=")</f>
        <v>#VALUE!</v>
      </c>
      <c r="BC33" t="e">
        <f>AND(Plants!D241,"AAAAAH+7PTY=")</f>
        <v>#VALUE!</v>
      </c>
      <c r="BD33" t="e">
        <f>AND(Plants!E241,"AAAAAH+7PTc=")</f>
        <v>#VALUE!</v>
      </c>
      <c r="BE33" t="e">
        <f>AND(Plants!F241,"AAAAAH+7PTg=")</f>
        <v>#VALUE!</v>
      </c>
      <c r="BF33" t="e">
        <f>AND(Plants!G241,"AAAAAH+7PTk=")</f>
        <v>#VALUE!</v>
      </c>
      <c r="BG33" t="e">
        <f>AND(Plants!H241,"AAAAAH+7PTo=")</f>
        <v>#VALUE!</v>
      </c>
      <c r="BH33" t="e">
        <f>AND(Plants!I241,"AAAAAH+7PTs=")</f>
        <v>#VALUE!</v>
      </c>
      <c r="BI33" t="e">
        <f>AND(Plants!J241,"AAAAAH+7PTw=")</f>
        <v>#VALUE!</v>
      </c>
      <c r="BJ33" t="e">
        <f>AND(Plants!K241,"AAAAAH+7PT0=")</f>
        <v>#VALUE!</v>
      </c>
      <c r="BK33" t="e">
        <f>AND(Plants!L241,"AAAAAH+7PT4=")</f>
        <v>#VALUE!</v>
      </c>
      <c r="BL33" t="e">
        <f>AND(Plants!M241,"AAAAAH+7PT8=")</f>
        <v>#VALUE!</v>
      </c>
      <c r="BM33" t="e">
        <f>AND(Plants!N241,"AAAAAH+7PUA=")</f>
        <v>#VALUE!</v>
      </c>
      <c r="BN33" t="e">
        <f>AND(Plants!O241,"AAAAAH+7PUE=")</f>
        <v>#VALUE!</v>
      </c>
      <c r="BO33" t="e">
        <f>AND(Plants!P241,"AAAAAH+7PUI=")</f>
        <v>#VALUE!</v>
      </c>
      <c r="BP33" t="e">
        <f>AND(Plants!Q241,"AAAAAH+7PUM=")</f>
        <v>#VALUE!</v>
      </c>
      <c r="BQ33">
        <f>IF(Plants!242:242,"AAAAAH+7PUQ=",0)</f>
        <v>0</v>
      </c>
      <c r="BR33" t="e">
        <f>AND(Plants!A242,"AAAAAH+7PUU=")</f>
        <v>#VALUE!</v>
      </c>
      <c r="BS33" t="e">
        <f>AND(Plants!B242,"AAAAAH+7PUY=")</f>
        <v>#VALUE!</v>
      </c>
      <c r="BT33" t="e">
        <f>AND(Plants!C242,"AAAAAH+7PUc=")</f>
        <v>#VALUE!</v>
      </c>
      <c r="BU33" t="e">
        <f>AND(Plants!D242,"AAAAAH+7PUg=")</f>
        <v>#VALUE!</v>
      </c>
      <c r="BV33" t="e">
        <f>AND(Plants!E242,"AAAAAH+7PUk=")</f>
        <v>#VALUE!</v>
      </c>
      <c r="BW33" t="e">
        <f>AND(Plants!F242,"AAAAAH+7PUo=")</f>
        <v>#VALUE!</v>
      </c>
      <c r="BX33" t="e">
        <f>AND(Plants!G242,"AAAAAH+7PUs=")</f>
        <v>#VALUE!</v>
      </c>
      <c r="BY33" t="e">
        <f>AND(Plants!H242,"AAAAAH+7PUw=")</f>
        <v>#VALUE!</v>
      </c>
      <c r="BZ33" t="e">
        <f>AND(Plants!I242,"AAAAAH+7PU0=")</f>
        <v>#VALUE!</v>
      </c>
      <c r="CA33" t="e">
        <f>AND(Plants!J242,"AAAAAH+7PU4=")</f>
        <v>#VALUE!</v>
      </c>
      <c r="CB33" t="e">
        <f>AND(Plants!K242,"AAAAAH+7PU8=")</f>
        <v>#VALUE!</v>
      </c>
      <c r="CC33" t="e">
        <f>AND(Plants!L242,"AAAAAH+7PVA=")</f>
        <v>#VALUE!</v>
      </c>
      <c r="CD33" t="e">
        <f>AND(Plants!M242,"AAAAAH+7PVE=")</f>
        <v>#VALUE!</v>
      </c>
      <c r="CE33" t="e">
        <f>AND(Plants!N242,"AAAAAH+7PVI=")</f>
        <v>#VALUE!</v>
      </c>
      <c r="CF33" t="e">
        <f>AND(Plants!O242,"AAAAAH+7PVM=")</f>
        <v>#VALUE!</v>
      </c>
      <c r="CG33" t="e">
        <f>AND(Plants!P242,"AAAAAH+7PVQ=")</f>
        <v>#VALUE!</v>
      </c>
      <c r="CH33" t="e">
        <f>AND(Plants!Q242,"AAAAAH+7PVU=")</f>
        <v>#VALUE!</v>
      </c>
      <c r="CI33">
        <f>IF(Plants!243:243,"AAAAAH+7PVY=",0)</f>
        <v>0</v>
      </c>
      <c r="CJ33" t="e">
        <f>AND(Plants!A243,"AAAAAH+7PVc=")</f>
        <v>#VALUE!</v>
      </c>
      <c r="CK33" t="e">
        <f>AND(Plants!B243,"AAAAAH+7PVg=")</f>
        <v>#VALUE!</v>
      </c>
      <c r="CL33" t="e">
        <f>AND(Plants!C243,"AAAAAH+7PVk=")</f>
        <v>#VALUE!</v>
      </c>
      <c r="CM33" t="e">
        <f>AND(Plants!D243,"AAAAAH+7PVo=")</f>
        <v>#VALUE!</v>
      </c>
      <c r="CN33" t="e">
        <f>AND(Plants!E243,"AAAAAH+7PVs=")</f>
        <v>#VALUE!</v>
      </c>
      <c r="CO33" t="e">
        <f>AND(Plants!F243,"AAAAAH+7PVw=")</f>
        <v>#VALUE!</v>
      </c>
      <c r="CP33" t="e">
        <f>AND(Plants!G243,"AAAAAH+7PV0=")</f>
        <v>#VALUE!</v>
      </c>
      <c r="CQ33" t="e">
        <f>AND(Plants!H243,"AAAAAH+7PV4=")</f>
        <v>#VALUE!</v>
      </c>
      <c r="CR33" t="e">
        <f>AND(Plants!I243,"AAAAAH+7PV8=")</f>
        <v>#VALUE!</v>
      </c>
      <c r="CS33" t="e">
        <f>AND(Plants!J243,"AAAAAH+7PWA=")</f>
        <v>#VALUE!</v>
      </c>
      <c r="CT33" t="e">
        <f>AND(Plants!K243,"AAAAAH+7PWE=")</f>
        <v>#VALUE!</v>
      </c>
      <c r="CU33" t="e">
        <f>AND(Plants!L243,"AAAAAH+7PWI=")</f>
        <v>#VALUE!</v>
      </c>
      <c r="CV33" t="e">
        <f>AND(Plants!M243,"AAAAAH+7PWM=")</f>
        <v>#VALUE!</v>
      </c>
      <c r="CW33" t="e">
        <f>AND(Plants!N243,"AAAAAH+7PWQ=")</f>
        <v>#VALUE!</v>
      </c>
      <c r="CX33" t="e">
        <f>AND(Plants!O243,"AAAAAH+7PWU=")</f>
        <v>#VALUE!</v>
      </c>
      <c r="CY33" t="e">
        <f>AND(Plants!P243,"AAAAAH+7PWY=")</f>
        <v>#VALUE!</v>
      </c>
      <c r="CZ33" t="e">
        <f>AND(Plants!Q243,"AAAAAH+7PWc=")</f>
        <v>#VALUE!</v>
      </c>
      <c r="DA33">
        <f>IF(Plants!244:244,"AAAAAH+7PWg=",0)</f>
        <v>0</v>
      </c>
      <c r="DB33" t="e">
        <f>AND(Plants!A244,"AAAAAH+7PWk=")</f>
        <v>#VALUE!</v>
      </c>
      <c r="DC33" t="e">
        <f>AND(Plants!B244,"AAAAAH+7PWo=")</f>
        <v>#VALUE!</v>
      </c>
      <c r="DD33" t="e">
        <f>AND(Plants!C244,"AAAAAH+7PWs=")</f>
        <v>#VALUE!</v>
      </c>
      <c r="DE33" t="e">
        <f>AND(Plants!D244,"AAAAAH+7PWw=")</f>
        <v>#VALUE!</v>
      </c>
      <c r="DF33" t="e">
        <f>AND(Plants!E244,"AAAAAH+7PW0=")</f>
        <v>#VALUE!</v>
      </c>
      <c r="DG33" t="e">
        <f>AND(Plants!F244,"AAAAAH+7PW4=")</f>
        <v>#VALUE!</v>
      </c>
      <c r="DH33" t="e">
        <f>AND(Plants!G244,"AAAAAH+7PW8=")</f>
        <v>#VALUE!</v>
      </c>
      <c r="DI33" t="e">
        <f>AND(Plants!H244,"AAAAAH+7PXA=")</f>
        <v>#VALUE!</v>
      </c>
      <c r="DJ33" t="e">
        <f>AND(Plants!I244,"AAAAAH+7PXE=")</f>
        <v>#VALUE!</v>
      </c>
      <c r="DK33" t="e">
        <f>AND(Plants!J244,"AAAAAH+7PXI=")</f>
        <v>#VALUE!</v>
      </c>
      <c r="DL33" t="e">
        <f>AND(Plants!K244,"AAAAAH+7PXM=")</f>
        <v>#VALUE!</v>
      </c>
      <c r="DM33" t="e">
        <f>AND(Plants!L244,"AAAAAH+7PXQ=")</f>
        <v>#VALUE!</v>
      </c>
      <c r="DN33" t="e">
        <f>AND(Plants!M244,"AAAAAH+7PXU=")</f>
        <v>#VALUE!</v>
      </c>
      <c r="DO33" t="e">
        <f>AND(Plants!N244,"AAAAAH+7PXY=")</f>
        <v>#VALUE!</v>
      </c>
      <c r="DP33" t="e">
        <f>AND(Plants!O244,"AAAAAH+7PXc=")</f>
        <v>#VALUE!</v>
      </c>
      <c r="DQ33" t="e">
        <f>AND(Plants!P244,"AAAAAH+7PXg=")</f>
        <v>#VALUE!</v>
      </c>
      <c r="DR33" t="e">
        <f>AND(Plants!Q244,"AAAAAH+7PXk=")</f>
        <v>#VALUE!</v>
      </c>
      <c r="DS33">
        <f>IF(Plants!245:245,"AAAAAH+7PXo=",0)</f>
        <v>0</v>
      </c>
      <c r="DT33" t="e">
        <f>AND(Plants!A245,"AAAAAH+7PXs=")</f>
        <v>#VALUE!</v>
      </c>
      <c r="DU33" t="e">
        <f>AND(Plants!B245,"AAAAAH+7PXw=")</f>
        <v>#VALUE!</v>
      </c>
      <c r="DV33" t="e">
        <f>AND(Plants!C245,"AAAAAH+7PX0=")</f>
        <v>#VALUE!</v>
      </c>
      <c r="DW33" t="e">
        <f>AND(Plants!D245,"AAAAAH+7PX4=")</f>
        <v>#VALUE!</v>
      </c>
      <c r="DX33" t="e">
        <f>AND(Plants!E245,"AAAAAH+7PX8=")</f>
        <v>#VALUE!</v>
      </c>
      <c r="DY33" t="e">
        <f>AND(Plants!F245,"AAAAAH+7PYA=")</f>
        <v>#VALUE!</v>
      </c>
      <c r="DZ33" t="e">
        <f>AND(Plants!G245,"AAAAAH+7PYE=")</f>
        <v>#VALUE!</v>
      </c>
      <c r="EA33" t="e">
        <f>AND(Plants!H245,"AAAAAH+7PYI=")</f>
        <v>#VALUE!</v>
      </c>
      <c r="EB33" t="e">
        <f>AND(Plants!I245,"AAAAAH+7PYM=")</f>
        <v>#VALUE!</v>
      </c>
      <c r="EC33" t="e">
        <f>AND(Plants!J245,"AAAAAH+7PYQ=")</f>
        <v>#VALUE!</v>
      </c>
      <c r="ED33" t="e">
        <f>AND(Plants!K245,"AAAAAH+7PYU=")</f>
        <v>#VALUE!</v>
      </c>
      <c r="EE33" t="e">
        <f>AND(Plants!L245,"AAAAAH+7PYY=")</f>
        <v>#VALUE!</v>
      </c>
      <c r="EF33" t="e">
        <f>AND(Plants!M245,"AAAAAH+7PYc=")</f>
        <v>#VALUE!</v>
      </c>
      <c r="EG33" t="e">
        <f>AND(Plants!N245,"AAAAAH+7PYg=")</f>
        <v>#VALUE!</v>
      </c>
      <c r="EH33" t="e">
        <f>AND(Plants!O245,"AAAAAH+7PYk=")</f>
        <v>#VALUE!</v>
      </c>
      <c r="EI33" t="e">
        <f>AND(Plants!P245,"AAAAAH+7PYo=")</f>
        <v>#VALUE!</v>
      </c>
      <c r="EJ33" t="e">
        <f>AND(Plants!Q245,"AAAAAH+7PYs=")</f>
        <v>#VALUE!</v>
      </c>
      <c r="EK33">
        <f>IF(Plants!246:246,"AAAAAH+7PYw=",0)</f>
        <v>0</v>
      </c>
      <c r="EL33" t="e">
        <f>AND(Plants!A246,"AAAAAH+7PY0=")</f>
        <v>#VALUE!</v>
      </c>
      <c r="EM33" t="e">
        <f>AND(Plants!B246,"AAAAAH+7PY4=")</f>
        <v>#VALUE!</v>
      </c>
      <c r="EN33" t="e">
        <f>AND(Plants!C246,"AAAAAH+7PY8=")</f>
        <v>#VALUE!</v>
      </c>
      <c r="EO33" t="e">
        <f>AND(Plants!D246,"AAAAAH+7PZA=")</f>
        <v>#VALUE!</v>
      </c>
      <c r="EP33" t="e">
        <f>AND(Plants!E246,"AAAAAH+7PZE=")</f>
        <v>#VALUE!</v>
      </c>
      <c r="EQ33" t="e">
        <f>AND(Plants!F246,"AAAAAH+7PZI=")</f>
        <v>#VALUE!</v>
      </c>
      <c r="ER33" t="e">
        <f>AND(Plants!G246,"AAAAAH+7PZM=")</f>
        <v>#VALUE!</v>
      </c>
      <c r="ES33" t="e">
        <f>AND(Plants!H246,"AAAAAH+7PZQ=")</f>
        <v>#VALUE!</v>
      </c>
      <c r="ET33" t="e">
        <f>AND(Plants!I246,"AAAAAH+7PZU=")</f>
        <v>#VALUE!</v>
      </c>
      <c r="EU33" t="e">
        <f>AND(Plants!J246,"AAAAAH+7PZY=")</f>
        <v>#VALUE!</v>
      </c>
      <c r="EV33" t="e">
        <f>AND(Plants!K246,"AAAAAH+7PZc=")</f>
        <v>#VALUE!</v>
      </c>
      <c r="EW33" t="e">
        <f>AND(Plants!L246,"AAAAAH+7PZg=")</f>
        <v>#VALUE!</v>
      </c>
      <c r="EX33" t="e">
        <f>AND(Plants!M246,"AAAAAH+7PZk=")</f>
        <v>#VALUE!</v>
      </c>
      <c r="EY33" t="e">
        <f>AND(Plants!N246,"AAAAAH+7PZo=")</f>
        <v>#VALUE!</v>
      </c>
      <c r="EZ33" t="e">
        <f>AND(Plants!O246,"AAAAAH+7PZs=")</f>
        <v>#VALUE!</v>
      </c>
      <c r="FA33" t="e">
        <f>AND(Plants!P246,"AAAAAH+7PZw=")</f>
        <v>#VALUE!</v>
      </c>
      <c r="FB33" t="e">
        <f>AND(Plants!Q246,"AAAAAH+7PZ0=")</f>
        <v>#VALUE!</v>
      </c>
      <c r="FC33">
        <f>IF(Plants!247:247,"AAAAAH+7PZ4=",0)</f>
        <v>0</v>
      </c>
      <c r="FD33" t="e">
        <f>AND(Plants!A247,"AAAAAH+7PZ8=")</f>
        <v>#VALUE!</v>
      </c>
      <c r="FE33" t="e">
        <f>AND(Plants!B247,"AAAAAH+7PaA=")</f>
        <v>#VALUE!</v>
      </c>
      <c r="FF33" t="e">
        <f>AND(Plants!C247,"AAAAAH+7PaE=")</f>
        <v>#VALUE!</v>
      </c>
      <c r="FG33" t="e">
        <f>AND(Plants!D247,"AAAAAH+7PaI=")</f>
        <v>#VALUE!</v>
      </c>
      <c r="FH33" t="e">
        <f>AND(Plants!E247,"AAAAAH+7PaM=")</f>
        <v>#VALUE!</v>
      </c>
      <c r="FI33" t="e">
        <f>AND(Plants!F247,"AAAAAH+7PaQ=")</f>
        <v>#VALUE!</v>
      </c>
      <c r="FJ33" t="e">
        <f>AND(Plants!G247,"AAAAAH+7PaU=")</f>
        <v>#VALUE!</v>
      </c>
      <c r="FK33" t="e">
        <f>AND(Plants!H247,"AAAAAH+7PaY=")</f>
        <v>#VALUE!</v>
      </c>
      <c r="FL33" t="e">
        <f>AND(Plants!I247,"AAAAAH+7Pac=")</f>
        <v>#VALUE!</v>
      </c>
      <c r="FM33" t="e">
        <f>AND(Plants!J247,"AAAAAH+7Pag=")</f>
        <v>#VALUE!</v>
      </c>
      <c r="FN33" t="e">
        <f>AND(Plants!K247,"AAAAAH+7Pak=")</f>
        <v>#VALUE!</v>
      </c>
      <c r="FO33" t="e">
        <f>AND(Plants!L247,"AAAAAH+7Pao=")</f>
        <v>#VALUE!</v>
      </c>
      <c r="FP33" t="e">
        <f>AND(Plants!M247,"AAAAAH+7Pas=")</f>
        <v>#VALUE!</v>
      </c>
      <c r="FQ33" t="e">
        <f>AND(Plants!N247,"AAAAAH+7Paw=")</f>
        <v>#VALUE!</v>
      </c>
      <c r="FR33" t="e">
        <f>AND(Plants!O247,"AAAAAH+7Pa0=")</f>
        <v>#VALUE!</v>
      </c>
      <c r="FS33" t="e">
        <f>AND(Plants!P247,"AAAAAH+7Pa4=")</f>
        <v>#VALUE!</v>
      </c>
      <c r="FT33" t="e">
        <f>AND(Plants!Q247,"AAAAAH+7Pa8=")</f>
        <v>#VALUE!</v>
      </c>
      <c r="FU33">
        <f>IF(Plants!248:248,"AAAAAH+7PbA=",0)</f>
        <v>0</v>
      </c>
      <c r="FV33" t="e">
        <f>AND(Plants!A248,"AAAAAH+7PbE=")</f>
        <v>#VALUE!</v>
      </c>
      <c r="FW33" t="e">
        <f>AND(Plants!B248,"AAAAAH+7PbI=")</f>
        <v>#VALUE!</v>
      </c>
      <c r="FX33" t="e">
        <f>AND(Plants!C248,"AAAAAH+7PbM=")</f>
        <v>#VALUE!</v>
      </c>
      <c r="FY33" t="e">
        <f>AND(Plants!D248,"AAAAAH+7PbQ=")</f>
        <v>#VALUE!</v>
      </c>
      <c r="FZ33" t="e">
        <f>AND(Plants!E248,"AAAAAH+7PbU=")</f>
        <v>#VALUE!</v>
      </c>
      <c r="GA33" t="e">
        <f>AND(Plants!F248,"AAAAAH+7PbY=")</f>
        <v>#VALUE!</v>
      </c>
      <c r="GB33" t="e">
        <f>AND(Plants!G248,"AAAAAH+7Pbc=")</f>
        <v>#VALUE!</v>
      </c>
      <c r="GC33" t="e">
        <f>AND(Plants!H248,"AAAAAH+7Pbg=")</f>
        <v>#VALUE!</v>
      </c>
      <c r="GD33" t="e">
        <f>AND(Plants!I248,"AAAAAH+7Pbk=")</f>
        <v>#VALUE!</v>
      </c>
      <c r="GE33" t="e">
        <f>AND(Plants!J248,"AAAAAH+7Pbo=")</f>
        <v>#VALUE!</v>
      </c>
      <c r="GF33" t="e">
        <f>AND(Plants!K248,"AAAAAH+7Pbs=")</f>
        <v>#VALUE!</v>
      </c>
      <c r="GG33" t="e">
        <f>AND(Plants!L248,"AAAAAH+7Pbw=")</f>
        <v>#VALUE!</v>
      </c>
      <c r="GH33" t="e">
        <f>AND(Plants!M248,"AAAAAH+7Pb0=")</f>
        <v>#VALUE!</v>
      </c>
      <c r="GI33" t="e">
        <f>AND(Plants!N248,"AAAAAH+7Pb4=")</f>
        <v>#VALUE!</v>
      </c>
      <c r="GJ33" t="e">
        <f>AND(Plants!O248,"AAAAAH+7Pb8=")</f>
        <v>#VALUE!</v>
      </c>
      <c r="GK33" t="e">
        <f>AND(Plants!P248,"AAAAAH+7PcA=")</f>
        <v>#VALUE!</v>
      </c>
      <c r="GL33" t="e">
        <f>AND(Plants!Q248,"AAAAAH+7PcE=")</f>
        <v>#VALUE!</v>
      </c>
      <c r="GM33">
        <f>IF(Plants!249:249,"AAAAAH+7PcI=",0)</f>
        <v>0</v>
      </c>
      <c r="GN33" t="e">
        <f>AND(Plants!A249,"AAAAAH+7PcM=")</f>
        <v>#VALUE!</v>
      </c>
      <c r="GO33" t="e">
        <f>AND(Plants!B249,"AAAAAH+7PcQ=")</f>
        <v>#VALUE!</v>
      </c>
      <c r="GP33" t="e">
        <f>AND(Plants!C249,"AAAAAH+7PcU=")</f>
        <v>#VALUE!</v>
      </c>
      <c r="GQ33" t="e">
        <f>AND(Plants!D249,"AAAAAH+7PcY=")</f>
        <v>#VALUE!</v>
      </c>
      <c r="GR33" t="e">
        <f>AND(Plants!E249,"AAAAAH+7Pcc=")</f>
        <v>#VALUE!</v>
      </c>
      <c r="GS33" t="e">
        <f>AND(Plants!F249,"AAAAAH+7Pcg=")</f>
        <v>#VALUE!</v>
      </c>
      <c r="GT33" t="e">
        <f>AND(Plants!G249,"AAAAAH+7Pck=")</f>
        <v>#VALUE!</v>
      </c>
      <c r="GU33" t="e">
        <f>AND(Plants!H249,"AAAAAH+7Pco=")</f>
        <v>#VALUE!</v>
      </c>
      <c r="GV33" t="e">
        <f>AND(Plants!I249,"AAAAAH+7Pcs=")</f>
        <v>#VALUE!</v>
      </c>
      <c r="GW33" t="e">
        <f>AND(Plants!J249,"AAAAAH+7Pcw=")</f>
        <v>#VALUE!</v>
      </c>
      <c r="GX33" t="e">
        <f>AND(Plants!K249,"AAAAAH+7Pc0=")</f>
        <v>#VALUE!</v>
      </c>
      <c r="GY33" t="e">
        <f>AND(Plants!L249,"AAAAAH+7Pc4=")</f>
        <v>#VALUE!</v>
      </c>
      <c r="GZ33" t="e">
        <f>AND(Plants!M249,"AAAAAH+7Pc8=")</f>
        <v>#VALUE!</v>
      </c>
      <c r="HA33" t="e">
        <f>AND(Plants!N249,"AAAAAH+7PdA=")</f>
        <v>#VALUE!</v>
      </c>
      <c r="HB33" t="e">
        <f>AND(Plants!O249,"AAAAAH+7PdE=")</f>
        <v>#VALUE!</v>
      </c>
      <c r="HC33" t="e">
        <f>AND(Plants!P249,"AAAAAH+7PdI=")</f>
        <v>#VALUE!</v>
      </c>
      <c r="HD33" t="e">
        <f>AND(Plants!Q249,"AAAAAH+7PdM=")</f>
        <v>#VALUE!</v>
      </c>
      <c r="HE33">
        <f>IF(Plants!250:250,"AAAAAH+7PdQ=",0)</f>
        <v>0</v>
      </c>
      <c r="HF33" t="e">
        <f>AND(Plants!A250,"AAAAAH+7PdU=")</f>
        <v>#VALUE!</v>
      </c>
      <c r="HG33" t="e">
        <f>AND(Plants!B250,"AAAAAH+7PdY=")</f>
        <v>#VALUE!</v>
      </c>
      <c r="HH33" t="e">
        <f>AND(Plants!C250,"AAAAAH+7Pdc=")</f>
        <v>#VALUE!</v>
      </c>
      <c r="HI33" t="e">
        <f>AND(Plants!D250,"AAAAAH+7Pdg=")</f>
        <v>#VALUE!</v>
      </c>
      <c r="HJ33" t="e">
        <f>AND(Plants!E250,"AAAAAH+7Pdk=")</f>
        <v>#VALUE!</v>
      </c>
      <c r="HK33" t="e">
        <f>AND(Plants!F250,"AAAAAH+7Pdo=")</f>
        <v>#VALUE!</v>
      </c>
      <c r="HL33" t="e">
        <f>AND(Plants!G250,"AAAAAH+7Pds=")</f>
        <v>#VALUE!</v>
      </c>
      <c r="HM33" t="e">
        <f>AND(Plants!H250,"AAAAAH+7Pdw=")</f>
        <v>#VALUE!</v>
      </c>
      <c r="HN33" t="e">
        <f>AND(Plants!I250,"AAAAAH+7Pd0=")</f>
        <v>#VALUE!</v>
      </c>
      <c r="HO33" t="e">
        <f>AND(Plants!J250,"AAAAAH+7Pd4=")</f>
        <v>#VALUE!</v>
      </c>
      <c r="HP33" t="e">
        <f>AND(Plants!K250,"AAAAAH+7Pd8=")</f>
        <v>#VALUE!</v>
      </c>
      <c r="HQ33" t="e">
        <f>AND(Plants!L250,"AAAAAH+7PeA=")</f>
        <v>#VALUE!</v>
      </c>
      <c r="HR33" t="e">
        <f>AND(Plants!M250,"AAAAAH+7PeE=")</f>
        <v>#VALUE!</v>
      </c>
      <c r="HS33" t="e">
        <f>AND(Plants!N250,"AAAAAH+7PeI=")</f>
        <v>#VALUE!</v>
      </c>
      <c r="HT33" t="e">
        <f>AND(Plants!O250,"AAAAAH+7PeM=")</f>
        <v>#VALUE!</v>
      </c>
      <c r="HU33" t="e">
        <f>AND(Plants!P250,"AAAAAH+7PeQ=")</f>
        <v>#VALUE!</v>
      </c>
      <c r="HV33" t="e">
        <f>AND(Plants!Q250,"AAAAAH+7PeU=")</f>
        <v>#VALUE!</v>
      </c>
      <c r="HW33">
        <f>IF(Plants!251:251,"AAAAAH+7PeY=",0)</f>
        <v>0</v>
      </c>
      <c r="HX33" t="e">
        <f>AND(Plants!A251,"AAAAAH+7Pec=")</f>
        <v>#VALUE!</v>
      </c>
      <c r="HY33" t="e">
        <f>AND(Plants!B251,"AAAAAH+7Peg=")</f>
        <v>#VALUE!</v>
      </c>
      <c r="HZ33" t="e">
        <f>AND(Plants!C251,"AAAAAH+7Pek=")</f>
        <v>#VALUE!</v>
      </c>
      <c r="IA33" t="e">
        <f>AND(Plants!D251,"AAAAAH+7Peo=")</f>
        <v>#VALUE!</v>
      </c>
      <c r="IB33" t="e">
        <f>AND(Plants!E251,"AAAAAH+7Pes=")</f>
        <v>#VALUE!</v>
      </c>
      <c r="IC33" t="e">
        <f>AND(Plants!F251,"AAAAAH+7Pew=")</f>
        <v>#VALUE!</v>
      </c>
      <c r="ID33" t="e">
        <f>AND(Plants!G251,"AAAAAH+7Pe0=")</f>
        <v>#VALUE!</v>
      </c>
      <c r="IE33" t="e">
        <f>AND(Plants!H251,"AAAAAH+7Pe4=")</f>
        <v>#VALUE!</v>
      </c>
      <c r="IF33" t="e">
        <f>AND(Plants!I251,"AAAAAH+7Pe8=")</f>
        <v>#VALUE!</v>
      </c>
      <c r="IG33" t="e">
        <f>AND(Plants!J251,"AAAAAH+7PfA=")</f>
        <v>#VALUE!</v>
      </c>
      <c r="IH33" t="e">
        <f>AND(Plants!K251,"AAAAAH+7PfE=")</f>
        <v>#VALUE!</v>
      </c>
      <c r="II33" t="e">
        <f>AND(Plants!L251,"AAAAAH+7PfI=")</f>
        <v>#VALUE!</v>
      </c>
      <c r="IJ33" t="e">
        <f>AND(Plants!M251,"AAAAAH+7PfM=")</f>
        <v>#VALUE!</v>
      </c>
      <c r="IK33" t="e">
        <f>AND(Plants!N251,"AAAAAH+7PfQ=")</f>
        <v>#VALUE!</v>
      </c>
      <c r="IL33" t="e">
        <f>AND(Plants!O251,"AAAAAH+7PfU=")</f>
        <v>#VALUE!</v>
      </c>
      <c r="IM33" t="e">
        <f>AND(Plants!P251,"AAAAAH+7PfY=")</f>
        <v>#VALUE!</v>
      </c>
      <c r="IN33" t="e">
        <f>AND(Plants!Q251,"AAAAAH+7Pfc=")</f>
        <v>#VALUE!</v>
      </c>
      <c r="IO33">
        <f>IF(Plants!252:252,"AAAAAH+7Pfg=",0)</f>
        <v>0</v>
      </c>
      <c r="IP33" t="e">
        <f>AND(Plants!A252,"AAAAAH+7Pfk=")</f>
        <v>#VALUE!</v>
      </c>
      <c r="IQ33" t="e">
        <f>AND(Plants!B252,"AAAAAH+7Pfo=")</f>
        <v>#VALUE!</v>
      </c>
      <c r="IR33" t="e">
        <f>AND(Plants!C252,"AAAAAH+7Pfs=")</f>
        <v>#VALUE!</v>
      </c>
      <c r="IS33" t="e">
        <f>AND(Plants!D252,"AAAAAH+7Pfw=")</f>
        <v>#VALUE!</v>
      </c>
      <c r="IT33" t="e">
        <f>AND(Plants!E252,"AAAAAH+7Pf0=")</f>
        <v>#VALUE!</v>
      </c>
      <c r="IU33" t="e">
        <f>AND(Plants!F252,"AAAAAH+7Pf4=")</f>
        <v>#VALUE!</v>
      </c>
      <c r="IV33" t="e">
        <f>AND(Plants!G252,"AAAAAH+7Pf8=")</f>
        <v>#VALUE!</v>
      </c>
    </row>
    <row r="34" spans="1:256">
      <c r="A34" t="e">
        <f>AND(Plants!H252,"AAAAAGf33gA=")</f>
        <v>#VALUE!</v>
      </c>
      <c r="B34" t="e">
        <f>AND(Plants!I252,"AAAAAGf33gE=")</f>
        <v>#VALUE!</v>
      </c>
      <c r="C34" t="e">
        <f>AND(Plants!J252,"AAAAAGf33gI=")</f>
        <v>#VALUE!</v>
      </c>
      <c r="D34" t="e">
        <f>AND(Plants!K252,"AAAAAGf33gM=")</f>
        <v>#VALUE!</v>
      </c>
      <c r="E34" t="e">
        <f>AND(Plants!L252,"AAAAAGf33gQ=")</f>
        <v>#VALUE!</v>
      </c>
      <c r="F34" t="e">
        <f>AND(Plants!M252,"AAAAAGf33gU=")</f>
        <v>#VALUE!</v>
      </c>
      <c r="G34" t="e">
        <f>AND(Plants!N252,"AAAAAGf33gY=")</f>
        <v>#VALUE!</v>
      </c>
      <c r="H34" t="e">
        <f>AND(Plants!O252,"AAAAAGf33gc=")</f>
        <v>#VALUE!</v>
      </c>
      <c r="I34" t="e">
        <f>AND(Plants!P252,"AAAAAGf33gg=")</f>
        <v>#VALUE!</v>
      </c>
      <c r="J34" t="e">
        <f>AND(Plants!Q252,"AAAAAGf33gk=")</f>
        <v>#VALUE!</v>
      </c>
      <c r="K34" t="e">
        <f>IF(Plants!253:253,"AAAAAGf33go=",0)</f>
        <v>#VALUE!</v>
      </c>
      <c r="L34" t="e">
        <f>AND(Plants!A253,"AAAAAGf33gs=")</f>
        <v>#VALUE!</v>
      </c>
      <c r="M34" t="e">
        <f>AND(Plants!B253,"AAAAAGf33gw=")</f>
        <v>#VALUE!</v>
      </c>
      <c r="N34" t="e">
        <f>AND(Plants!C253,"AAAAAGf33g0=")</f>
        <v>#VALUE!</v>
      </c>
      <c r="O34" t="e">
        <f>AND(Plants!D253,"AAAAAGf33g4=")</f>
        <v>#VALUE!</v>
      </c>
      <c r="P34" t="e">
        <f>AND(Plants!E253,"AAAAAGf33g8=")</f>
        <v>#VALUE!</v>
      </c>
      <c r="Q34" t="e">
        <f>AND(Plants!F253,"AAAAAGf33hA=")</f>
        <v>#VALUE!</v>
      </c>
      <c r="R34" t="e">
        <f>AND(Plants!G253,"AAAAAGf33hE=")</f>
        <v>#VALUE!</v>
      </c>
      <c r="S34" t="e">
        <f>AND(Plants!H253,"AAAAAGf33hI=")</f>
        <v>#VALUE!</v>
      </c>
      <c r="T34" t="e">
        <f>AND(Plants!I253,"AAAAAGf33hM=")</f>
        <v>#VALUE!</v>
      </c>
      <c r="U34" t="e">
        <f>AND(Plants!J253,"AAAAAGf33hQ=")</f>
        <v>#VALUE!</v>
      </c>
      <c r="V34" t="e">
        <f>AND(Plants!K253,"AAAAAGf33hU=")</f>
        <v>#VALUE!</v>
      </c>
      <c r="W34" t="e">
        <f>AND(Plants!L253,"AAAAAGf33hY=")</f>
        <v>#VALUE!</v>
      </c>
      <c r="X34" t="e">
        <f>AND(Plants!M253,"AAAAAGf33hc=")</f>
        <v>#VALUE!</v>
      </c>
      <c r="Y34" t="e">
        <f>AND(Plants!N253,"AAAAAGf33hg=")</f>
        <v>#VALUE!</v>
      </c>
      <c r="Z34" t="e">
        <f>AND(Plants!O253,"AAAAAGf33hk=")</f>
        <v>#VALUE!</v>
      </c>
      <c r="AA34" t="e">
        <f>AND(Plants!P253,"AAAAAGf33ho=")</f>
        <v>#VALUE!</v>
      </c>
      <c r="AB34" t="e">
        <f>AND(Plants!Q253,"AAAAAGf33hs=")</f>
        <v>#VALUE!</v>
      </c>
      <c r="AC34">
        <f>IF(Plants!254:254,"AAAAAGf33hw=",0)</f>
        <v>0</v>
      </c>
      <c r="AD34" t="e">
        <f>AND(Plants!A254,"AAAAAGf33h0=")</f>
        <v>#VALUE!</v>
      </c>
      <c r="AE34" t="e">
        <f>AND(Plants!B254,"AAAAAGf33h4=")</f>
        <v>#VALUE!</v>
      </c>
      <c r="AF34" t="e">
        <f>AND(Plants!C254,"AAAAAGf33h8=")</f>
        <v>#VALUE!</v>
      </c>
      <c r="AG34" t="e">
        <f>AND(Plants!D254,"AAAAAGf33iA=")</f>
        <v>#VALUE!</v>
      </c>
      <c r="AH34" t="e">
        <f>AND(Plants!E254,"AAAAAGf33iE=")</f>
        <v>#VALUE!</v>
      </c>
      <c r="AI34" t="e">
        <f>AND(Plants!F254,"AAAAAGf33iI=")</f>
        <v>#VALUE!</v>
      </c>
      <c r="AJ34" t="e">
        <f>AND(Plants!G254,"AAAAAGf33iM=")</f>
        <v>#VALUE!</v>
      </c>
      <c r="AK34" t="e">
        <f>AND(Plants!H254,"AAAAAGf33iQ=")</f>
        <v>#VALUE!</v>
      </c>
      <c r="AL34" t="e">
        <f>AND(Plants!I254,"AAAAAGf33iU=")</f>
        <v>#VALUE!</v>
      </c>
      <c r="AM34" t="e">
        <f>AND(Plants!J254,"AAAAAGf33iY=")</f>
        <v>#VALUE!</v>
      </c>
      <c r="AN34" t="e">
        <f>AND(Plants!K254,"AAAAAGf33ic=")</f>
        <v>#VALUE!</v>
      </c>
      <c r="AO34" t="e">
        <f>AND(Plants!L254,"AAAAAGf33ig=")</f>
        <v>#VALUE!</v>
      </c>
      <c r="AP34" t="e">
        <f>AND(Plants!M254,"AAAAAGf33ik=")</f>
        <v>#VALUE!</v>
      </c>
      <c r="AQ34" t="e">
        <f>AND(Plants!N254,"AAAAAGf33io=")</f>
        <v>#VALUE!</v>
      </c>
      <c r="AR34" t="e">
        <f>AND(Plants!O254,"AAAAAGf33is=")</f>
        <v>#VALUE!</v>
      </c>
      <c r="AS34" t="e">
        <f>AND(Plants!P254,"AAAAAGf33iw=")</f>
        <v>#VALUE!</v>
      </c>
      <c r="AT34" t="e">
        <f>AND(Plants!Q254,"AAAAAGf33i0=")</f>
        <v>#VALUE!</v>
      </c>
      <c r="AU34">
        <f>IF(Plants!255:255,"AAAAAGf33i4=",0)</f>
        <v>0</v>
      </c>
      <c r="AV34" t="e">
        <f>AND(Plants!A255,"AAAAAGf33i8=")</f>
        <v>#VALUE!</v>
      </c>
      <c r="AW34" t="e">
        <f>AND(Plants!B255,"AAAAAGf33jA=")</f>
        <v>#VALUE!</v>
      </c>
      <c r="AX34" t="e">
        <f>AND(Plants!C255,"AAAAAGf33jE=")</f>
        <v>#VALUE!</v>
      </c>
      <c r="AY34" t="e">
        <f>AND(Plants!D255,"AAAAAGf33jI=")</f>
        <v>#VALUE!</v>
      </c>
      <c r="AZ34" t="e">
        <f>AND(Plants!E255,"AAAAAGf33jM=")</f>
        <v>#VALUE!</v>
      </c>
      <c r="BA34" t="e">
        <f>AND(Plants!F255,"AAAAAGf33jQ=")</f>
        <v>#VALUE!</v>
      </c>
      <c r="BB34" t="e">
        <f>AND(Plants!G255,"AAAAAGf33jU=")</f>
        <v>#VALUE!</v>
      </c>
      <c r="BC34" t="e">
        <f>AND(Plants!H255,"AAAAAGf33jY=")</f>
        <v>#VALUE!</v>
      </c>
      <c r="BD34" t="e">
        <f>AND(Plants!I255,"AAAAAGf33jc=")</f>
        <v>#VALUE!</v>
      </c>
      <c r="BE34" t="e">
        <f>AND(Plants!J255,"AAAAAGf33jg=")</f>
        <v>#VALUE!</v>
      </c>
      <c r="BF34" t="e">
        <f>AND(Plants!K255,"AAAAAGf33jk=")</f>
        <v>#VALUE!</v>
      </c>
      <c r="BG34" t="e">
        <f>AND(Plants!L255,"AAAAAGf33jo=")</f>
        <v>#VALUE!</v>
      </c>
      <c r="BH34" t="e">
        <f>AND(Plants!M255,"AAAAAGf33js=")</f>
        <v>#VALUE!</v>
      </c>
      <c r="BI34" t="e">
        <f>AND(Plants!N255,"AAAAAGf33jw=")</f>
        <v>#VALUE!</v>
      </c>
      <c r="BJ34" t="e">
        <f>AND(Plants!O255,"AAAAAGf33j0=")</f>
        <v>#VALUE!</v>
      </c>
      <c r="BK34" t="e">
        <f>AND(Plants!P255,"AAAAAGf33j4=")</f>
        <v>#VALUE!</v>
      </c>
      <c r="BL34" t="e">
        <f>AND(Plants!Q255,"AAAAAGf33j8=")</f>
        <v>#VALUE!</v>
      </c>
      <c r="BM34">
        <f>IF(Plants!256:256,"AAAAAGf33kA=",0)</f>
        <v>0</v>
      </c>
      <c r="BN34" t="e">
        <f>AND(Plants!A256,"AAAAAGf33kE=")</f>
        <v>#VALUE!</v>
      </c>
      <c r="BO34" t="e">
        <f>AND(Plants!B256,"AAAAAGf33kI=")</f>
        <v>#VALUE!</v>
      </c>
      <c r="BP34" t="e">
        <f>AND(Plants!C256,"AAAAAGf33kM=")</f>
        <v>#VALUE!</v>
      </c>
      <c r="BQ34" t="e">
        <f>AND(Plants!D256,"AAAAAGf33kQ=")</f>
        <v>#VALUE!</v>
      </c>
      <c r="BR34" t="e">
        <f>AND(Plants!E256,"AAAAAGf33kU=")</f>
        <v>#VALUE!</v>
      </c>
      <c r="BS34" t="e">
        <f>AND(Plants!F256,"AAAAAGf33kY=")</f>
        <v>#VALUE!</v>
      </c>
      <c r="BT34" t="e">
        <f>AND(Plants!G256,"AAAAAGf33kc=")</f>
        <v>#VALUE!</v>
      </c>
      <c r="BU34" t="e">
        <f>AND(Plants!H256,"AAAAAGf33kg=")</f>
        <v>#VALUE!</v>
      </c>
      <c r="BV34" t="e">
        <f>AND(Plants!I256,"AAAAAGf33kk=")</f>
        <v>#VALUE!</v>
      </c>
      <c r="BW34" t="e">
        <f>AND(Plants!J256,"AAAAAGf33ko=")</f>
        <v>#VALUE!</v>
      </c>
      <c r="BX34" t="e">
        <f>AND(Plants!K256,"AAAAAGf33ks=")</f>
        <v>#VALUE!</v>
      </c>
      <c r="BY34" t="e">
        <f>AND(Plants!L256,"AAAAAGf33kw=")</f>
        <v>#VALUE!</v>
      </c>
      <c r="BZ34" t="e">
        <f>AND(Plants!M256,"AAAAAGf33k0=")</f>
        <v>#VALUE!</v>
      </c>
      <c r="CA34" t="e">
        <f>AND(Plants!N256,"AAAAAGf33k4=")</f>
        <v>#VALUE!</v>
      </c>
      <c r="CB34" t="e">
        <f>AND(Plants!O256,"AAAAAGf33k8=")</f>
        <v>#VALUE!</v>
      </c>
      <c r="CC34" t="e">
        <f>AND(Plants!P256,"AAAAAGf33lA=")</f>
        <v>#VALUE!</v>
      </c>
      <c r="CD34" t="e">
        <f>AND(Plants!Q256,"AAAAAGf33lE=")</f>
        <v>#VALUE!</v>
      </c>
      <c r="CE34">
        <f>IF(Plants!257:257,"AAAAAGf33lI=",0)</f>
        <v>0</v>
      </c>
      <c r="CF34" t="e">
        <f>AND(Plants!A257,"AAAAAGf33lM=")</f>
        <v>#VALUE!</v>
      </c>
      <c r="CG34" t="e">
        <f>AND(Plants!B257,"AAAAAGf33lQ=")</f>
        <v>#VALUE!</v>
      </c>
      <c r="CH34" t="e">
        <f>AND(Plants!C257,"AAAAAGf33lU=")</f>
        <v>#VALUE!</v>
      </c>
      <c r="CI34" t="e">
        <f>AND(Plants!D257,"AAAAAGf33lY=")</f>
        <v>#VALUE!</v>
      </c>
      <c r="CJ34" t="e">
        <f>AND(Plants!E257,"AAAAAGf33lc=")</f>
        <v>#VALUE!</v>
      </c>
      <c r="CK34" t="e">
        <f>AND(Plants!F257,"AAAAAGf33lg=")</f>
        <v>#VALUE!</v>
      </c>
      <c r="CL34" t="e">
        <f>AND(Plants!G257,"AAAAAGf33lk=")</f>
        <v>#VALUE!</v>
      </c>
      <c r="CM34" t="e">
        <f>AND(Plants!H257,"AAAAAGf33lo=")</f>
        <v>#VALUE!</v>
      </c>
      <c r="CN34" t="e">
        <f>AND(Plants!I257,"AAAAAGf33ls=")</f>
        <v>#VALUE!</v>
      </c>
      <c r="CO34" t="e">
        <f>AND(Plants!J257,"AAAAAGf33lw=")</f>
        <v>#VALUE!</v>
      </c>
      <c r="CP34" t="e">
        <f>AND(Plants!K257,"AAAAAGf33l0=")</f>
        <v>#VALUE!</v>
      </c>
      <c r="CQ34" t="e">
        <f>AND(Plants!L257,"AAAAAGf33l4=")</f>
        <v>#VALUE!</v>
      </c>
      <c r="CR34" t="e">
        <f>AND(Plants!M257,"AAAAAGf33l8=")</f>
        <v>#VALUE!</v>
      </c>
      <c r="CS34" t="e">
        <f>AND(Plants!N257,"AAAAAGf33mA=")</f>
        <v>#VALUE!</v>
      </c>
      <c r="CT34" t="e">
        <f>AND(Plants!O257,"AAAAAGf33mE=")</f>
        <v>#VALUE!</v>
      </c>
      <c r="CU34" t="e">
        <f>AND(Plants!P257,"AAAAAGf33mI=")</f>
        <v>#VALUE!</v>
      </c>
      <c r="CV34" t="e">
        <f>AND(Plants!Q257,"AAAAAGf33mM=")</f>
        <v>#VALUE!</v>
      </c>
      <c r="CW34">
        <f>IF(Plants!258:258,"AAAAAGf33mQ=",0)</f>
        <v>0</v>
      </c>
      <c r="CX34" t="e">
        <f>AND(Plants!A258,"AAAAAGf33mU=")</f>
        <v>#VALUE!</v>
      </c>
      <c r="CY34" t="e">
        <f>AND(Plants!B258,"AAAAAGf33mY=")</f>
        <v>#VALUE!</v>
      </c>
      <c r="CZ34" t="e">
        <f>AND(Plants!C258,"AAAAAGf33mc=")</f>
        <v>#VALUE!</v>
      </c>
      <c r="DA34" t="e">
        <f>AND(Plants!D258,"AAAAAGf33mg=")</f>
        <v>#VALUE!</v>
      </c>
      <c r="DB34" t="e">
        <f>AND(Plants!E258,"AAAAAGf33mk=")</f>
        <v>#VALUE!</v>
      </c>
      <c r="DC34" t="e">
        <f>AND(Plants!F258,"AAAAAGf33mo=")</f>
        <v>#VALUE!</v>
      </c>
      <c r="DD34" t="e">
        <f>AND(Plants!G258,"AAAAAGf33ms=")</f>
        <v>#VALUE!</v>
      </c>
      <c r="DE34" t="e">
        <f>AND(Plants!H258,"AAAAAGf33mw=")</f>
        <v>#VALUE!</v>
      </c>
      <c r="DF34" t="e">
        <f>AND(Plants!I258,"AAAAAGf33m0=")</f>
        <v>#VALUE!</v>
      </c>
      <c r="DG34" t="e">
        <f>AND(Plants!J258,"AAAAAGf33m4=")</f>
        <v>#VALUE!</v>
      </c>
      <c r="DH34" t="e">
        <f>AND(Plants!K258,"AAAAAGf33m8=")</f>
        <v>#VALUE!</v>
      </c>
      <c r="DI34" t="e">
        <f>AND(Plants!L258,"AAAAAGf33nA=")</f>
        <v>#VALUE!</v>
      </c>
      <c r="DJ34" t="e">
        <f>AND(Plants!M258,"AAAAAGf33nE=")</f>
        <v>#VALUE!</v>
      </c>
      <c r="DK34" t="e">
        <f>AND(Plants!N258,"AAAAAGf33nI=")</f>
        <v>#VALUE!</v>
      </c>
      <c r="DL34" t="e">
        <f>AND(Plants!O258,"AAAAAGf33nM=")</f>
        <v>#VALUE!</v>
      </c>
      <c r="DM34" t="e">
        <f>AND(Plants!P258,"AAAAAGf33nQ=")</f>
        <v>#VALUE!</v>
      </c>
      <c r="DN34" t="e">
        <f>AND(Plants!Q258,"AAAAAGf33nU=")</f>
        <v>#VALUE!</v>
      </c>
      <c r="DO34">
        <f>IF(Plants!259:259,"AAAAAGf33nY=",0)</f>
        <v>0</v>
      </c>
      <c r="DP34" t="e">
        <f>AND(Plants!A259,"AAAAAGf33nc=")</f>
        <v>#VALUE!</v>
      </c>
      <c r="DQ34" t="e">
        <f>AND(Plants!B259,"AAAAAGf33ng=")</f>
        <v>#VALUE!</v>
      </c>
      <c r="DR34" t="e">
        <f>AND(Plants!C259,"AAAAAGf33nk=")</f>
        <v>#VALUE!</v>
      </c>
      <c r="DS34" t="e">
        <f>AND(Plants!D259,"AAAAAGf33no=")</f>
        <v>#VALUE!</v>
      </c>
      <c r="DT34" t="e">
        <f>AND(Plants!E259,"AAAAAGf33ns=")</f>
        <v>#VALUE!</v>
      </c>
      <c r="DU34" t="e">
        <f>AND(Plants!F259,"AAAAAGf33nw=")</f>
        <v>#VALUE!</v>
      </c>
      <c r="DV34" t="e">
        <f>AND(Plants!G259,"AAAAAGf33n0=")</f>
        <v>#VALUE!</v>
      </c>
      <c r="DW34" t="e">
        <f>AND(Plants!H259,"AAAAAGf33n4=")</f>
        <v>#VALUE!</v>
      </c>
      <c r="DX34" t="e">
        <f>AND(Plants!I259,"AAAAAGf33n8=")</f>
        <v>#VALUE!</v>
      </c>
      <c r="DY34" t="e">
        <f>AND(Plants!J259,"AAAAAGf33oA=")</f>
        <v>#VALUE!</v>
      </c>
      <c r="DZ34" t="e">
        <f>AND(Plants!K259,"AAAAAGf33oE=")</f>
        <v>#VALUE!</v>
      </c>
      <c r="EA34" t="e">
        <f>AND(Plants!L259,"AAAAAGf33oI=")</f>
        <v>#VALUE!</v>
      </c>
      <c r="EB34" t="e">
        <f>AND(Plants!M259,"AAAAAGf33oM=")</f>
        <v>#VALUE!</v>
      </c>
      <c r="EC34" t="e">
        <f>AND(Plants!N259,"AAAAAGf33oQ=")</f>
        <v>#VALUE!</v>
      </c>
      <c r="ED34" t="e">
        <f>AND(Plants!O259,"AAAAAGf33oU=")</f>
        <v>#VALUE!</v>
      </c>
      <c r="EE34" t="e">
        <f>AND(Plants!P259,"AAAAAGf33oY=")</f>
        <v>#VALUE!</v>
      </c>
      <c r="EF34" t="e">
        <f>AND(Plants!Q259,"AAAAAGf33oc=")</f>
        <v>#VALUE!</v>
      </c>
      <c r="EG34">
        <f>IF(Plants!260:260,"AAAAAGf33og=",0)</f>
        <v>0</v>
      </c>
      <c r="EH34" t="e">
        <f>AND(Plants!A260,"AAAAAGf33ok=")</f>
        <v>#VALUE!</v>
      </c>
      <c r="EI34" t="e">
        <f>AND(Plants!B260,"AAAAAGf33oo=")</f>
        <v>#VALUE!</v>
      </c>
      <c r="EJ34" t="e">
        <f>AND(Plants!C260,"AAAAAGf33os=")</f>
        <v>#VALUE!</v>
      </c>
      <c r="EK34" t="e">
        <f>AND(Plants!D260,"AAAAAGf33ow=")</f>
        <v>#VALUE!</v>
      </c>
      <c r="EL34" t="e">
        <f>AND(Plants!E260,"AAAAAGf33o0=")</f>
        <v>#VALUE!</v>
      </c>
      <c r="EM34" t="e">
        <f>AND(Plants!F260,"AAAAAGf33o4=")</f>
        <v>#VALUE!</v>
      </c>
      <c r="EN34" t="e">
        <f>AND(Plants!G260,"AAAAAGf33o8=")</f>
        <v>#VALUE!</v>
      </c>
      <c r="EO34" t="e">
        <f>AND(Plants!H260,"AAAAAGf33pA=")</f>
        <v>#VALUE!</v>
      </c>
      <c r="EP34" t="e">
        <f>AND(Plants!I260,"AAAAAGf33pE=")</f>
        <v>#VALUE!</v>
      </c>
      <c r="EQ34" t="e">
        <f>AND(Plants!J260,"AAAAAGf33pI=")</f>
        <v>#VALUE!</v>
      </c>
      <c r="ER34" t="e">
        <f>AND(Plants!K260,"AAAAAGf33pM=")</f>
        <v>#VALUE!</v>
      </c>
      <c r="ES34" t="e">
        <f>AND(Plants!L260,"AAAAAGf33pQ=")</f>
        <v>#VALUE!</v>
      </c>
      <c r="ET34" t="e">
        <f>AND(Plants!M260,"AAAAAGf33pU=")</f>
        <v>#VALUE!</v>
      </c>
      <c r="EU34" t="e">
        <f>AND(Plants!N260,"AAAAAGf33pY=")</f>
        <v>#VALUE!</v>
      </c>
      <c r="EV34" t="e">
        <f>AND(Plants!O260,"AAAAAGf33pc=")</f>
        <v>#VALUE!</v>
      </c>
      <c r="EW34" t="e">
        <f>AND(Plants!P260,"AAAAAGf33pg=")</f>
        <v>#VALUE!</v>
      </c>
      <c r="EX34" t="e">
        <f>AND(Plants!Q260,"AAAAAGf33pk=")</f>
        <v>#VALUE!</v>
      </c>
      <c r="EY34">
        <f>IF(Plants!261:261,"AAAAAGf33po=",0)</f>
        <v>0</v>
      </c>
      <c r="EZ34" t="e">
        <f>AND(Plants!A261,"AAAAAGf33ps=")</f>
        <v>#VALUE!</v>
      </c>
      <c r="FA34" t="e">
        <f>AND(Plants!B261,"AAAAAGf33pw=")</f>
        <v>#VALUE!</v>
      </c>
      <c r="FB34" t="e">
        <f>AND(Plants!C261,"AAAAAGf33p0=")</f>
        <v>#VALUE!</v>
      </c>
      <c r="FC34" t="e">
        <f>AND(Plants!D261,"AAAAAGf33p4=")</f>
        <v>#VALUE!</v>
      </c>
      <c r="FD34" t="e">
        <f>AND(Plants!E261,"AAAAAGf33p8=")</f>
        <v>#VALUE!</v>
      </c>
      <c r="FE34" t="e">
        <f>AND(Plants!F261,"AAAAAGf33qA=")</f>
        <v>#VALUE!</v>
      </c>
      <c r="FF34" t="e">
        <f>AND(Plants!G261,"AAAAAGf33qE=")</f>
        <v>#VALUE!</v>
      </c>
      <c r="FG34" t="e">
        <f>AND(Plants!H261,"AAAAAGf33qI=")</f>
        <v>#VALUE!</v>
      </c>
      <c r="FH34" t="e">
        <f>AND(Plants!I261,"AAAAAGf33qM=")</f>
        <v>#VALUE!</v>
      </c>
      <c r="FI34" t="e">
        <f>AND(Plants!J261,"AAAAAGf33qQ=")</f>
        <v>#VALUE!</v>
      </c>
      <c r="FJ34" t="e">
        <f>AND(Plants!K261,"AAAAAGf33qU=")</f>
        <v>#VALUE!</v>
      </c>
      <c r="FK34" t="e">
        <f>AND(Plants!L261,"AAAAAGf33qY=")</f>
        <v>#VALUE!</v>
      </c>
      <c r="FL34" t="e">
        <f>AND(Plants!M261,"AAAAAGf33qc=")</f>
        <v>#VALUE!</v>
      </c>
      <c r="FM34" t="e">
        <f>AND(Plants!N261,"AAAAAGf33qg=")</f>
        <v>#VALUE!</v>
      </c>
      <c r="FN34" t="e">
        <f>AND(Plants!O261,"AAAAAGf33qk=")</f>
        <v>#VALUE!</v>
      </c>
      <c r="FO34" t="e">
        <f>AND(Plants!P261,"AAAAAGf33qo=")</f>
        <v>#VALUE!</v>
      </c>
      <c r="FP34" t="e">
        <f>AND(Plants!Q261,"AAAAAGf33qs=")</f>
        <v>#VALUE!</v>
      </c>
      <c r="FQ34">
        <f>IF(Plants!262:262,"AAAAAGf33qw=",0)</f>
        <v>0</v>
      </c>
      <c r="FR34" t="e">
        <f>AND(Plants!A262,"AAAAAGf33q0=")</f>
        <v>#VALUE!</v>
      </c>
      <c r="FS34" t="e">
        <f>AND(Plants!B262,"AAAAAGf33q4=")</f>
        <v>#VALUE!</v>
      </c>
      <c r="FT34" t="e">
        <f>AND(Plants!C262,"AAAAAGf33q8=")</f>
        <v>#VALUE!</v>
      </c>
      <c r="FU34" t="e">
        <f>AND(Plants!D262,"AAAAAGf33rA=")</f>
        <v>#VALUE!</v>
      </c>
      <c r="FV34" t="e">
        <f>AND(Plants!E262,"AAAAAGf33rE=")</f>
        <v>#VALUE!</v>
      </c>
      <c r="FW34" t="e">
        <f>AND(Plants!F262,"AAAAAGf33rI=")</f>
        <v>#VALUE!</v>
      </c>
      <c r="FX34" t="e">
        <f>AND(Plants!G262,"AAAAAGf33rM=")</f>
        <v>#VALUE!</v>
      </c>
      <c r="FY34" t="e">
        <f>AND(Plants!H262,"AAAAAGf33rQ=")</f>
        <v>#VALUE!</v>
      </c>
      <c r="FZ34" t="e">
        <f>AND(Plants!I262,"AAAAAGf33rU=")</f>
        <v>#VALUE!</v>
      </c>
      <c r="GA34" t="e">
        <f>AND(Plants!J262,"AAAAAGf33rY=")</f>
        <v>#VALUE!</v>
      </c>
      <c r="GB34" t="e">
        <f>AND(Plants!K262,"AAAAAGf33rc=")</f>
        <v>#VALUE!</v>
      </c>
      <c r="GC34" t="e">
        <f>AND(Plants!L262,"AAAAAGf33rg=")</f>
        <v>#VALUE!</v>
      </c>
      <c r="GD34" t="e">
        <f>AND(Plants!M262,"AAAAAGf33rk=")</f>
        <v>#VALUE!</v>
      </c>
      <c r="GE34" t="e">
        <f>AND(Plants!N262,"AAAAAGf33ro=")</f>
        <v>#VALUE!</v>
      </c>
      <c r="GF34" t="e">
        <f>AND(Plants!O262,"AAAAAGf33rs=")</f>
        <v>#VALUE!</v>
      </c>
      <c r="GG34" t="e">
        <f>AND(Plants!P262,"AAAAAGf33rw=")</f>
        <v>#VALUE!</v>
      </c>
      <c r="GH34" t="e">
        <f>AND(Plants!Q262,"AAAAAGf33r0=")</f>
        <v>#VALUE!</v>
      </c>
      <c r="GI34">
        <f>IF(Plants!263:263,"AAAAAGf33r4=",0)</f>
        <v>0</v>
      </c>
      <c r="GJ34" t="e">
        <f>AND(Plants!A263,"AAAAAGf33r8=")</f>
        <v>#VALUE!</v>
      </c>
      <c r="GK34" t="e">
        <f>AND(Plants!B263,"AAAAAGf33sA=")</f>
        <v>#VALUE!</v>
      </c>
      <c r="GL34" t="e">
        <f>AND(Plants!C263,"AAAAAGf33sE=")</f>
        <v>#VALUE!</v>
      </c>
      <c r="GM34" t="e">
        <f>AND(Plants!D263,"AAAAAGf33sI=")</f>
        <v>#VALUE!</v>
      </c>
      <c r="GN34" t="e">
        <f>AND(Plants!E263,"AAAAAGf33sM=")</f>
        <v>#VALUE!</v>
      </c>
      <c r="GO34" t="e">
        <f>AND(Plants!F263,"AAAAAGf33sQ=")</f>
        <v>#VALUE!</v>
      </c>
      <c r="GP34" t="e">
        <f>AND(Plants!G263,"AAAAAGf33sU=")</f>
        <v>#VALUE!</v>
      </c>
      <c r="GQ34" t="e">
        <f>AND(Plants!H263,"AAAAAGf33sY=")</f>
        <v>#VALUE!</v>
      </c>
      <c r="GR34" t="e">
        <f>AND(Plants!I263,"AAAAAGf33sc=")</f>
        <v>#VALUE!</v>
      </c>
      <c r="GS34" t="e">
        <f>AND(Plants!J263,"AAAAAGf33sg=")</f>
        <v>#VALUE!</v>
      </c>
      <c r="GT34" t="e">
        <f>AND(Plants!K263,"AAAAAGf33sk=")</f>
        <v>#VALUE!</v>
      </c>
      <c r="GU34" t="e">
        <f>AND(Plants!L263,"AAAAAGf33so=")</f>
        <v>#VALUE!</v>
      </c>
      <c r="GV34" t="e">
        <f>AND(Plants!M263,"AAAAAGf33ss=")</f>
        <v>#VALUE!</v>
      </c>
      <c r="GW34" t="e">
        <f>AND(Plants!N263,"AAAAAGf33sw=")</f>
        <v>#VALUE!</v>
      </c>
      <c r="GX34" t="e">
        <f>AND(Plants!O263,"AAAAAGf33s0=")</f>
        <v>#VALUE!</v>
      </c>
      <c r="GY34" t="e">
        <f>AND(Plants!P263,"AAAAAGf33s4=")</f>
        <v>#VALUE!</v>
      </c>
      <c r="GZ34" t="e">
        <f>AND(Plants!Q263,"AAAAAGf33s8=")</f>
        <v>#VALUE!</v>
      </c>
      <c r="HA34">
        <f>IF(Plants!264:264,"AAAAAGf33tA=",0)</f>
        <v>0</v>
      </c>
      <c r="HB34" t="e">
        <f>AND(Plants!A264,"AAAAAGf33tE=")</f>
        <v>#VALUE!</v>
      </c>
      <c r="HC34" t="e">
        <f>AND(Plants!B264,"AAAAAGf33tI=")</f>
        <v>#VALUE!</v>
      </c>
      <c r="HD34" t="e">
        <f>AND(Plants!C264,"AAAAAGf33tM=")</f>
        <v>#VALUE!</v>
      </c>
      <c r="HE34" t="e">
        <f>AND(Plants!D264,"AAAAAGf33tQ=")</f>
        <v>#VALUE!</v>
      </c>
      <c r="HF34" t="e">
        <f>AND(Plants!E264,"AAAAAGf33tU=")</f>
        <v>#VALUE!</v>
      </c>
      <c r="HG34" t="e">
        <f>AND(Plants!F264,"AAAAAGf33tY=")</f>
        <v>#VALUE!</v>
      </c>
      <c r="HH34" t="e">
        <f>AND(Plants!G264,"AAAAAGf33tc=")</f>
        <v>#VALUE!</v>
      </c>
      <c r="HI34" t="e">
        <f>AND(Plants!H264,"AAAAAGf33tg=")</f>
        <v>#VALUE!</v>
      </c>
      <c r="HJ34" t="e">
        <f>AND(Plants!I264,"AAAAAGf33tk=")</f>
        <v>#VALUE!</v>
      </c>
      <c r="HK34" t="e">
        <f>AND(Plants!J264,"AAAAAGf33to=")</f>
        <v>#VALUE!</v>
      </c>
      <c r="HL34" t="e">
        <f>AND(Plants!K264,"AAAAAGf33ts=")</f>
        <v>#VALUE!</v>
      </c>
      <c r="HM34" t="e">
        <f>AND(Plants!L264,"AAAAAGf33tw=")</f>
        <v>#VALUE!</v>
      </c>
      <c r="HN34" t="e">
        <f>AND(Plants!M264,"AAAAAGf33t0=")</f>
        <v>#VALUE!</v>
      </c>
      <c r="HO34" t="e">
        <f>AND(Plants!N264,"AAAAAGf33t4=")</f>
        <v>#VALUE!</v>
      </c>
      <c r="HP34" t="e">
        <f>AND(Plants!O264,"AAAAAGf33t8=")</f>
        <v>#VALUE!</v>
      </c>
      <c r="HQ34" t="e">
        <f>AND(Plants!P264,"AAAAAGf33uA=")</f>
        <v>#VALUE!</v>
      </c>
      <c r="HR34" t="e">
        <f>AND(Plants!Q264,"AAAAAGf33uE=")</f>
        <v>#VALUE!</v>
      </c>
      <c r="HS34">
        <f>IF(Plants!265:265,"AAAAAGf33uI=",0)</f>
        <v>0</v>
      </c>
      <c r="HT34" t="e">
        <f>AND(Plants!A265,"AAAAAGf33uM=")</f>
        <v>#VALUE!</v>
      </c>
      <c r="HU34" t="e">
        <f>AND(Plants!B265,"AAAAAGf33uQ=")</f>
        <v>#VALUE!</v>
      </c>
      <c r="HV34" t="e">
        <f>AND(Plants!C265,"AAAAAGf33uU=")</f>
        <v>#VALUE!</v>
      </c>
      <c r="HW34" t="e">
        <f>AND(Plants!D265,"AAAAAGf33uY=")</f>
        <v>#VALUE!</v>
      </c>
      <c r="HX34" t="e">
        <f>AND(Plants!E265,"AAAAAGf33uc=")</f>
        <v>#VALUE!</v>
      </c>
      <c r="HY34" t="e">
        <f>AND(Plants!F265,"AAAAAGf33ug=")</f>
        <v>#VALUE!</v>
      </c>
      <c r="HZ34" t="e">
        <f>AND(Plants!G265,"AAAAAGf33uk=")</f>
        <v>#VALUE!</v>
      </c>
      <c r="IA34" t="e">
        <f>AND(Plants!H265,"AAAAAGf33uo=")</f>
        <v>#VALUE!</v>
      </c>
      <c r="IB34" t="e">
        <f>AND(Plants!I265,"AAAAAGf33us=")</f>
        <v>#VALUE!</v>
      </c>
      <c r="IC34" t="e">
        <f>AND(Plants!J265,"AAAAAGf33uw=")</f>
        <v>#VALUE!</v>
      </c>
      <c r="ID34" t="e">
        <f>AND(Plants!K265,"AAAAAGf33u0=")</f>
        <v>#VALUE!</v>
      </c>
      <c r="IE34" t="e">
        <f>AND(Plants!L265,"AAAAAGf33u4=")</f>
        <v>#VALUE!</v>
      </c>
      <c r="IF34" t="e">
        <f>AND(Plants!M265,"AAAAAGf33u8=")</f>
        <v>#VALUE!</v>
      </c>
      <c r="IG34" t="e">
        <f>AND(Plants!N265,"AAAAAGf33vA=")</f>
        <v>#VALUE!</v>
      </c>
      <c r="IH34" t="e">
        <f>AND(Plants!O265,"AAAAAGf33vE=")</f>
        <v>#VALUE!</v>
      </c>
      <c r="II34" t="e">
        <f>AND(Plants!P265,"AAAAAGf33vI=")</f>
        <v>#VALUE!</v>
      </c>
      <c r="IJ34" t="e">
        <f>AND(Plants!Q265,"AAAAAGf33vM=")</f>
        <v>#VALUE!</v>
      </c>
      <c r="IK34">
        <f>IF(Plants!266:266,"AAAAAGf33vQ=",0)</f>
        <v>0</v>
      </c>
      <c r="IL34" t="e">
        <f>AND(Plants!A266,"AAAAAGf33vU=")</f>
        <v>#VALUE!</v>
      </c>
      <c r="IM34" t="e">
        <f>AND(Plants!B266,"AAAAAGf33vY=")</f>
        <v>#VALUE!</v>
      </c>
      <c r="IN34" t="e">
        <f>AND(Plants!C266,"AAAAAGf33vc=")</f>
        <v>#VALUE!</v>
      </c>
      <c r="IO34" t="e">
        <f>AND(Plants!D266,"AAAAAGf33vg=")</f>
        <v>#VALUE!</v>
      </c>
      <c r="IP34" t="e">
        <f>AND(Plants!E266,"AAAAAGf33vk=")</f>
        <v>#VALUE!</v>
      </c>
      <c r="IQ34" t="e">
        <f>AND(Plants!F266,"AAAAAGf33vo=")</f>
        <v>#VALUE!</v>
      </c>
      <c r="IR34" t="e">
        <f>AND(Plants!G266,"AAAAAGf33vs=")</f>
        <v>#VALUE!</v>
      </c>
      <c r="IS34" t="e">
        <f>AND(Plants!H266,"AAAAAGf33vw=")</f>
        <v>#VALUE!</v>
      </c>
      <c r="IT34" t="e">
        <f>AND(Plants!I266,"AAAAAGf33v0=")</f>
        <v>#VALUE!</v>
      </c>
      <c r="IU34" t="e">
        <f>AND(Plants!J266,"AAAAAGf33v4=")</f>
        <v>#VALUE!</v>
      </c>
      <c r="IV34" t="e">
        <f>AND(Plants!K266,"AAAAAGf33v8=")</f>
        <v>#VALUE!</v>
      </c>
    </row>
    <row r="35" spans="1:256">
      <c r="A35" t="e">
        <f>AND(Plants!L266,"AAAAABIvvwA=")</f>
        <v>#VALUE!</v>
      </c>
      <c r="B35" t="e">
        <f>AND(Plants!M266,"AAAAABIvvwE=")</f>
        <v>#VALUE!</v>
      </c>
      <c r="C35" t="e">
        <f>AND(Plants!N266,"AAAAABIvvwI=")</f>
        <v>#VALUE!</v>
      </c>
      <c r="D35" t="e">
        <f>AND(Plants!O266,"AAAAABIvvwM=")</f>
        <v>#VALUE!</v>
      </c>
      <c r="E35" t="e">
        <f>AND(Plants!P266,"AAAAABIvvwQ=")</f>
        <v>#VALUE!</v>
      </c>
      <c r="F35" t="e">
        <f>AND(Plants!Q266,"AAAAABIvvwU=")</f>
        <v>#VALUE!</v>
      </c>
      <c r="G35">
        <f>IF(Plants!267:267,"AAAAABIvvwY=",0)</f>
        <v>0</v>
      </c>
      <c r="H35" t="e">
        <f>AND(Plants!A267,"AAAAABIvvwc=")</f>
        <v>#VALUE!</v>
      </c>
      <c r="I35" t="e">
        <f>AND(Plants!B267,"AAAAABIvvwg=")</f>
        <v>#VALUE!</v>
      </c>
      <c r="J35" t="e">
        <f>AND(Plants!C267,"AAAAABIvvwk=")</f>
        <v>#VALUE!</v>
      </c>
      <c r="K35" t="e">
        <f>AND(Plants!D267,"AAAAABIvvwo=")</f>
        <v>#VALUE!</v>
      </c>
      <c r="L35" t="e">
        <f>AND(Plants!E267,"AAAAABIvvws=")</f>
        <v>#VALUE!</v>
      </c>
      <c r="M35" t="e">
        <f>AND(Plants!F267,"AAAAABIvvww=")</f>
        <v>#VALUE!</v>
      </c>
      <c r="N35" t="e">
        <f>AND(Plants!G267,"AAAAABIvvw0=")</f>
        <v>#VALUE!</v>
      </c>
      <c r="O35" t="e">
        <f>AND(Plants!H267,"AAAAABIvvw4=")</f>
        <v>#VALUE!</v>
      </c>
      <c r="P35" t="e">
        <f>AND(Plants!I267,"AAAAABIvvw8=")</f>
        <v>#VALUE!</v>
      </c>
      <c r="Q35" t="e">
        <f>AND(Plants!J267,"AAAAABIvvxA=")</f>
        <v>#VALUE!</v>
      </c>
      <c r="R35" t="e">
        <f>AND(Plants!K267,"AAAAABIvvxE=")</f>
        <v>#VALUE!</v>
      </c>
      <c r="S35" t="e">
        <f>AND(Plants!L267,"AAAAABIvvxI=")</f>
        <v>#VALUE!</v>
      </c>
      <c r="T35" t="e">
        <f>AND(Plants!M267,"AAAAABIvvxM=")</f>
        <v>#VALUE!</v>
      </c>
      <c r="U35" t="e">
        <f>AND(Plants!N267,"AAAAABIvvxQ=")</f>
        <v>#VALUE!</v>
      </c>
      <c r="V35" t="e">
        <f>AND(Plants!O267,"AAAAABIvvxU=")</f>
        <v>#VALUE!</v>
      </c>
      <c r="W35" t="e">
        <f>AND(Plants!P267,"AAAAABIvvxY=")</f>
        <v>#VALUE!</v>
      </c>
      <c r="X35" t="e">
        <f>AND(Plants!Q267,"AAAAABIvvxc=")</f>
        <v>#VALUE!</v>
      </c>
      <c r="Y35">
        <f>IF(Plants!268:268,"AAAAABIvvxg=",0)</f>
        <v>0</v>
      </c>
      <c r="Z35" t="e">
        <f>AND(Plants!A268,"AAAAABIvvxk=")</f>
        <v>#VALUE!</v>
      </c>
      <c r="AA35" t="e">
        <f>AND(Plants!B268,"AAAAABIvvxo=")</f>
        <v>#VALUE!</v>
      </c>
      <c r="AB35" t="e">
        <f>AND(Plants!C268,"AAAAABIvvxs=")</f>
        <v>#VALUE!</v>
      </c>
      <c r="AC35" t="e">
        <f>AND(Plants!D268,"AAAAABIvvxw=")</f>
        <v>#VALUE!</v>
      </c>
      <c r="AD35" t="e">
        <f>AND(Plants!E268,"AAAAABIvvx0=")</f>
        <v>#VALUE!</v>
      </c>
      <c r="AE35" t="e">
        <f>AND(Plants!F268,"AAAAABIvvx4=")</f>
        <v>#VALUE!</v>
      </c>
      <c r="AF35" t="e">
        <f>AND(Plants!G268,"AAAAABIvvx8=")</f>
        <v>#VALUE!</v>
      </c>
      <c r="AG35" t="e">
        <f>AND(Plants!H268,"AAAAABIvvyA=")</f>
        <v>#VALUE!</v>
      </c>
      <c r="AH35" t="e">
        <f>AND(Plants!I268,"AAAAABIvvyE=")</f>
        <v>#VALUE!</v>
      </c>
      <c r="AI35" t="e">
        <f>AND(Plants!J268,"AAAAABIvvyI=")</f>
        <v>#VALUE!</v>
      </c>
      <c r="AJ35" t="e">
        <f>AND(Plants!K268,"AAAAABIvvyM=")</f>
        <v>#VALUE!</v>
      </c>
      <c r="AK35" t="e">
        <f>AND(Plants!L268,"AAAAABIvvyQ=")</f>
        <v>#VALUE!</v>
      </c>
      <c r="AL35" t="e">
        <f>AND(Plants!M268,"AAAAABIvvyU=")</f>
        <v>#VALUE!</v>
      </c>
      <c r="AM35" t="e">
        <f>AND(Plants!N268,"AAAAABIvvyY=")</f>
        <v>#VALUE!</v>
      </c>
      <c r="AN35" t="e">
        <f>AND(Plants!O268,"AAAAABIvvyc=")</f>
        <v>#VALUE!</v>
      </c>
      <c r="AO35" t="e">
        <f>AND(Plants!P268,"AAAAABIvvyg=")</f>
        <v>#VALUE!</v>
      </c>
      <c r="AP35" t="e">
        <f>AND(Plants!Q268,"AAAAABIvvyk=")</f>
        <v>#VALUE!</v>
      </c>
      <c r="AQ35">
        <f>IF(Plants!269:269,"AAAAABIvvyo=",0)</f>
        <v>0</v>
      </c>
      <c r="AR35" t="e">
        <f>AND(Plants!A269,"AAAAABIvvys=")</f>
        <v>#VALUE!</v>
      </c>
      <c r="AS35" t="e">
        <f>AND(Plants!B269,"AAAAABIvvyw=")</f>
        <v>#VALUE!</v>
      </c>
      <c r="AT35" t="e">
        <f>AND(Plants!C269,"AAAAABIvvy0=")</f>
        <v>#VALUE!</v>
      </c>
      <c r="AU35" t="e">
        <f>AND(Plants!D269,"AAAAABIvvy4=")</f>
        <v>#VALUE!</v>
      </c>
      <c r="AV35" t="e">
        <f>AND(Plants!E269,"AAAAABIvvy8=")</f>
        <v>#VALUE!</v>
      </c>
      <c r="AW35" t="e">
        <f>AND(Plants!F269,"AAAAABIvvzA=")</f>
        <v>#VALUE!</v>
      </c>
      <c r="AX35" t="e">
        <f>AND(Plants!G269,"AAAAABIvvzE=")</f>
        <v>#VALUE!</v>
      </c>
      <c r="AY35" t="e">
        <f>AND(Plants!H269,"AAAAABIvvzI=")</f>
        <v>#VALUE!</v>
      </c>
      <c r="AZ35" t="e">
        <f>AND(Plants!I269,"AAAAABIvvzM=")</f>
        <v>#VALUE!</v>
      </c>
      <c r="BA35" t="e">
        <f>AND(Plants!J269,"AAAAABIvvzQ=")</f>
        <v>#VALUE!</v>
      </c>
      <c r="BB35" t="e">
        <f>AND(Plants!K269,"AAAAABIvvzU=")</f>
        <v>#VALUE!</v>
      </c>
      <c r="BC35" t="e">
        <f>AND(Plants!L269,"AAAAABIvvzY=")</f>
        <v>#VALUE!</v>
      </c>
      <c r="BD35" t="e">
        <f>AND(Plants!M269,"AAAAABIvvzc=")</f>
        <v>#VALUE!</v>
      </c>
      <c r="BE35" t="e">
        <f>AND(Plants!N269,"AAAAABIvvzg=")</f>
        <v>#VALUE!</v>
      </c>
      <c r="BF35" t="e">
        <f>AND(Plants!O269,"AAAAABIvvzk=")</f>
        <v>#VALUE!</v>
      </c>
      <c r="BG35" t="e">
        <f>AND(Plants!P269,"AAAAABIvvzo=")</f>
        <v>#VALUE!</v>
      </c>
      <c r="BH35" t="e">
        <f>AND(Plants!Q269,"AAAAABIvvzs=")</f>
        <v>#VALUE!</v>
      </c>
      <c r="BI35">
        <f>IF(Plants!270:270,"AAAAABIvvzw=",0)</f>
        <v>0</v>
      </c>
      <c r="BJ35">
        <f>IF(Plants!271:271,"AAAAABIvvz0=",0)</f>
        <v>0</v>
      </c>
      <c r="BK35">
        <f>IF(Plants!272:272,"AAAAABIvvz4=",0)</f>
        <v>0</v>
      </c>
      <c r="BL35">
        <f>IF(Plants!273:273,"AAAAABIvvz8=",0)</f>
        <v>0</v>
      </c>
      <c r="BM35">
        <f>IF(Plants!274:274,"AAAAABIvv0A=",0)</f>
        <v>0</v>
      </c>
      <c r="BN35">
        <f>IF(Plants!275:275,"AAAAABIvv0E=",0)</f>
        <v>0</v>
      </c>
      <c r="BO35">
        <f>IF(Plants!276:276,"AAAAABIvv0I=",0)</f>
        <v>0</v>
      </c>
      <c r="BP35">
        <f>IF(Plants!277:277,"AAAAABIvv0M=",0)</f>
        <v>0</v>
      </c>
      <c r="BQ35">
        <f>IF(Plants!278:278,"AAAAABIvv0Q=",0)</f>
        <v>0</v>
      </c>
      <c r="BR35">
        <f>IF(Plants!279:279,"AAAAABIvv0U=",0)</f>
        <v>0</v>
      </c>
      <c r="BS35">
        <f>IF(Plants!280:280,"AAAAABIvv0Y=",0)</f>
        <v>0</v>
      </c>
      <c r="BT35">
        <f>IF(Plants!281:281,"AAAAABIvv0c=",0)</f>
        <v>0</v>
      </c>
      <c r="BU35" t="str">
        <f>IF(Plants!A:A,"AAAAABIvv0g=",0)</f>
        <v>AAAAABIvv0g=</v>
      </c>
      <c r="BV35" t="e">
        <f>IF(Plants!B:B,"AAAAABIvv0k=",0)</f>
        <v>#VALUE!</v>
      </c>
      <c r="BW35" t="e">
        <f>IF(Plants!C:C,"AAAAABIvv0o=",0)</f>
        <v>#VALUE!</v>
      </c>
      <c r="BX35">
        <f>IF(Plants!D:D,"AAAAABIvv0s=",0)</f>
        <v>0</v>
      </c>
      <c r="BY35">
        <f>IF(Plants!E:E,"AAAAABIvv0w=",0)</f>
        <v>0</v>
      </c>
      <c r="BZ35">
        <f>IF(Plants!F:F,"AAAAABIvv00=",0)</f>
        <v>0</v>
      </c>
      <c r="CA35">
        <f>IF(Plants!G:G,"AAAAABIvv04=",0)</f>
        <v>0</v>
      </c>
      <c r="CB35">
        <f>IF(Plants!H:H,"AAAAABIvv08=",0)</f>
        <v>0</v>
      </c>
      <c r="CC35">
        <f>IF(Plants!I:I,"AAAAABIvv1A=",0)</f>
        <v>0</v>
      </c>
      <c r="CD35">
        <f>IF(Plants!J:J,"AAAAABIvv1E=",0)</f>
        <v>0</v>
      </c>
      <c r="CE35" t="e">
        <f>IF(Plants!K:K,"AAAAABIvv1I=",0)</f>
        <v>#VALUE!</v>
      </c>
      <c r="CF35" t="e">
        <f>IF(Plants!L:L,"AAAAABIvv1M=",0)</f>
        <v>#VALUE!</v>
      </c>
      <c r="CG35">
        <f>IF(Plants!M:M,"AAAAABIvv1Q=",0)</f>
        <v>0</v>
      </c>
      <c r="CH35">
        <f>IF(Plants!N:N,"AAAAABIvv1U=",0)</f>
        <v>0</v>
      </c>
      <c r="CI35">
        <f>IF(Plants!O:O,"AAAAABIvv1Y=",0)</f>
        <v>0</v>
      </c>
      <c r="CJ35">
        <f>IF(Plants!P:P,"AAAAABIvv1c=",0)</f>
        <v>0</v>
      </c>
      <c r="CK35">
        <f>IF(Plants!Q:Q,"AAAAABIvv1g=",0)</f>
        <v>0</v>
      </c>
      <c r="CL35">
        <f>IF('Reptiles and Amphibians'!1:1,"AAAAABIvv1k=",0)</f>
        <v>0</v>
      </c>
      <c r="CM35" t="e">
        <f>AND('Reptiles and Amphibians'!A1,"AAAAABIvv1o=")</f>
        <v>#VALUE!</v>
      </c>
      <c r="CN35" t="e">
        <f>AND('Reptiles and Amphibians'!B1,"AAAAABIvv1s=")</f>
        <v>#VALUE!</v>
      </c>
      <c r="CO35" t="e">
        <f>AND('Reptiles and Amphibians'!C1,"AAAAABIvv1w=")</f>
        <v>#VALUE!</v>
      </c>
      <c r="CP35" t="e">
        <f>AND('Reptiles and Amphibians'!D1,"AAAAABIvv10=")</f>
        <v>#VALUE!</v>
      </c>
      <c r="CQ35" t="e">
        <f>AND('Reptiles and Amphibians'!E1,"AAAAABIvv14=")</f>
        <v>#VALUE!</v>
      </c>
      <c r="CR35" t="e">
        <f>AND('Reptiles and Amphibians'!F1,"AAAAABIvv18=")</f>
        <v>#VALUE!</v>
      </c>
      <c r="CS35" t="e">
        <f>AND('Reptiles and Amphibians'!G1,"AAAAABIvv2A=")</f>
        <v>#VALUE!</v>
      </c>
      <c r="CT35" t="e">
        <f>AND('Reptiles and Amphibians'!H1,"AAAAABIvv2E=")</f>
        <v>#VALUE!</v>
      </c>
      <c r="CU35" t="e">
        <f>AND('Reptiles and Amphibians'!I1,"AAAAABIvv2I=")</f>
        <v>#VALUE!</v>
      </c>
      <c r="CV35" t="e">
        <f>AND('Reptiles and Amphibians'!J1,"AAAAABIvv2M=")</f>
        <v>#VALUE!</v>
      </c>
      <c r="CW35" t="e">
        <f>AND('Reptiles and Amphibians'!K1,"AAAAABIvv2Q=")</f>
        <v>#VALUE!</v>
      </c>
      <c r="CX35" t="e">
        <f>AND('Reptiles and Amphibians'!L1,"AAAAABIvv2U=")</f>
        <v>#VALUE!</v>
      </c>
      <c r="CY35" t="e">
        <f>AND('Reptiles and Amphibians'!M1,"AAAAABIvv2Y=")</f>
        <v>#VALUE!</v>
      </c>
      <c r="CZ35" t="e">
        <f>AND('Reptiles and Amphibians'!N1,"AAAAABIvv2c=")</f>
        <v>#VALUE!</v>
      </c>
      <c r="DA35" t="e">
        <f>AND('Reptiles and Amphibians'!O1,"AAAAABIvv2g=")</f>
        <v>#VALUE!</v>
      </c>
      <c r="DB35" t="e">
        <f>AND('Reptiles and Amphibians'!P1,"AAAAABIvv2k=")</f>
        <v>#VALUE!</v>
      </c>
      <c r="DC35" t="e">
        <f>AND('Reptiles and Amphibians'!Q1,"AAAAABIvv2o=")</f>
        <v>#VALUE!</v>
      </c>
      <c r="DD35" t="e">
        <f>AND('Reptiles and Amphibians'!R1,"AAAAABIvv2s=")</f>
        <v>#VALUE!</v>
      </c>
      <c r="DE35" t="e">
        <f>AND('Reptiles and Amphibians'!S1,"AAAAABIvv2w=")</f>
        <v>#VALUE!</v>
      </c>
      <c r="DF35" t="e">
        <f>AND('Reptiles and Amphibians'!T1,"AAAAABIvv20=")</f>
        <v>#VALUE!</v>
      </c>
      <c r="DG35" t="e">
        <f>AND('Reptiles and Amphibians'!U1,"AAAAABIvv24=")</f>
        <v>#VALUE!</v>
      </c>
      <c r="DH35" t="e">
        <f>AND('Reptiles and Amphibians'!V1,"AAAAABIvv28=")</f>
        <v>#VALUE!</v>
      </c>
      <c r="DI35" t="e">
        <f>AND('Reptiles and Amphibians'!W1,"AAAAABIvv3A=")</f>
        <v>#VALUE!</v>
      </c>
      <c r="DJ35" t="e">
        <f>AND('Reptiles and Amphibians'!X1,"AAAAABIvv3E=")</f>
        <v>#VALUE!</v>
      </c>
      <c r="DK35" t="e">
        <f>AND('Reptiles and Amphibians'!Y1,"AAAAABIvv3I=")</f>
        <v>#VALUE!</v>
      </c>
      <c r="DL35" t="e">
        <f>AND('Reptiles and Amphibians'!Z1,"AAAAABIvv3M=")</f>
        <v>#VALUE!</v>
      </c>
      <c r="DM35" t="e">
        <f>AND('Reptiles and Amphibians'!AA1,"AAAAABIvv3Q=")</f>
        <v>#VALUE!</v>
      </c>
      <c r="DN35" t="e">
        <f>AND('Reptiles and Amphibians'!AB1,"AAAAABIvv3U=")</f>
        <v>#VALUE!</v>
      </c>
      <c r="DO35" t="e">
        <f>AND('Reptiles and Amphibians'!AC1,"AAAAABIvv3Y=")</f>
        <v>#VALUE!</v>
      </c>
      <c r="DP35" t="e">
        <f>AND('Reptiles and Amphibians'!AD1,"AAAAABIvv3c=")</f>
        <v>#VALUE!</v>
      </c>
      <c r="DQ35" t="e">
        <f>AND('Reptiles and Amphibians'!AE1,"AAAAABIvv3g=")</f>
        <v>#VALUE!</v>
      </c>
      <c r="DR35" t="e">
        <f>AND('Reptiles and Amphibians'!AF1,"AAAAABIvv3k=")</f>
        <v>#VALUE!</v>
      </c>
      <c r="DS35" t="e">
        <f>AND('Reptiles and Amphibians'!AG1,"AAAAABIvv3o=")</f>
        <v>#VALUE!</v>
      </c>
      <c r="DT35" t="e">
        <f>AND('Reptiles and Amphibians'!AH1,"AAAAABIvv3s=")</f>
        <v>#VALUE!</v>
      </c>
      <c r="DU35" t="e">
        <f>AND('Reptiles and Amphibians'!AI1,"AAAAABIvv3w=")</f>
        <v>#VALUE!</v>
      </c>
      <c r="DV35" t="e">
        <f>AND('Reptiles and Amphibians'!AJ1,"AAAAABIvv30=")</f>
        <v>#VALUE!</v>
      </c>
      <c r="DW35" t="e">
        <f>AND('Reptiles and Amphibians'!AK1,"AAAAABIvv34=")</f>
        <v>#VALUE!</v>
      </c>
      <c r="DX35" t="e">
        <f>AND('Reptiles and Amphibians'!AL1,"AAAAABIvv38=")</f>
        <v>#VALUE!</v>
      </c>
      <c r="DY35" t="e">
        <f>AND('Reptiles and Amphibians'!AM1,"AAAAABIvv4A=")</f>
        <v>#VALUE!</v>
      </c>
      <c r="DZ35" t="e">
        <f>AND('Reptiles and Amphibians'!AN1,"AAAAABIvv4E=")</f>
        <v>#VALUE!</v>
      </c>
      <c r="EA35" t="e">
        <f>AND('Reptiles and Amphibians'!AO1,"AAAAABIvv4I=")</f>
        <v>#VALUE!</v>
      </c>
      <c r="EB35">
        <f>IF('Reptiles and Amphibians'!2:2,"AAAAABIvv4M=",0)</f>
        <v>0</v>
      </c>
      <c r="EC35" t="e">
        <f>AND('Reptiles and Amphibians'!A2,"AAAAABIvv4Q=")</f>
        <v>#VALUE!</v>
      </c>
      <c r="ED35" t="e">
        <f>AND('Reptiles and Amphibians'!B2,"AAAAABIvv4U=")</f>
        <v>#VALUE!</v>
      </c>
      <c r="EE35" t="e">
        <f>AND('Reptiles and Amphibians'!C2,"AAAAABIvv4Y=")</f>
        <v>#VALUE!</v>
      </c>
      <c r="EF35" t="e">
        <f>AND('Reptiles and Amphibians'!D2,"AAAAABIvv4c=")</f>
        <v>#VALUE!</v>
      </c>
      <c r="EG35" t="e">
        <f>AND('Reptiles and Amphibians'!E2,"AAAAABIvv4g=")</f>
        <v>#VALUE!</v>
      </c>
      <c r="EH35" t="e">
        <f>AND('Reptiles and Amphibians'!F2,"AAAAABIvv4k=")</f>
        <v>#VALUE!</v>
      </c>
      <c r="EI35" t="e">
        <f>AND('Reptiles and Amphibians'!G2,"AAAAABIvv4o=")</f>
        <v>#VALUE!</v>
      </c>
      <c r="EJ35" t="e">
        <f>AND('Reptiles and Amphibians'!H2,"AAAAABIvv4s=")</f>
        <v>#VALUE!</v>
      </c>
      <c r="EK35" t="e">
        <f>AND('Reptiles and Amphibians'!I2,"AAAAABIvv4w=")</f>
        <v>#VALUE!</v>
      </c>
      <c r="EL35" t="e">
        <f>AND('Reptiles and Amphibians'!J2,"AAAAABIvv40=")</f>
        <v>#VALUE!</v>
      </c>
      <c r="EM35" t="e">
        <f>AND('Reptiles and Amphibians'!K2,"AAAAABIvv44=")</f>
        <v>#VALUE!</v>
      </c>
      <c r="EN35" t="e">
        <f>AND('Reptiles and Amphibians'!L2,"AAAAABIvv48=")</f>
        <v>#VALUE!</v>
      </c>
      <c r="EO35" t="e">
        <f>AND('Reptiles and Amphibians'!M2,"AAAAABIvv5A=")</f>
        <v>#VALUE!</v>
      </c>
      <c r="EP35" t="e">
        <f>AND('Reptiles and Amphibians'!N2,"AAAAABIvv5E=")</f>
        <v>#VALUE!</v>
      </c>
      <c r="EQ35" t="e">
        <f>AND('Reptiles and Amphibians'!O2,"AAAAABIvv5I=")</f>
        <v>#VALUE!</v>
      </c>
      <c r="ER35" t="e">
        <f>AND('Reptiles and Amphibians'!P2,"AAAAABIvv5M=")</f>
        <v>#VALUE!</v>
      </c>
      <c r="ES35" t="e">
        <f>AND('Reptiles and Amphibians'!Q2,"AAAAABIvv5Q=")</f>
        <v>#VALUE!</v>
      </c>
      <c r="ET35" t="e">
        <f>AND('Reptiles and Amphibians'!R2,"AAAAABIvv5U=")</f>
        <v>#VALUE!</v>
      </c>
      <c r="EU35" t="e">
        <f>AND('Reptiles and Amphibians'!S2,"AAAAABIvv5Y=")</f>
        <v>#VALUE!</v>
      </c>
      <c r="EV35" t="e">
        <f>AND('Reptiles and Amphibians'!T2,"AAAAABIvv5c=")</f>
        <v>#VALUE!</v>
      </c>
      <c r="EW35" t="e">
        <f>AND('Reptiles and Amphibians'!U2,"AAAAABIvv5g=")</f>
        <v>#VALUE!</v>
      </c>
      <c r="EX35" t="e">
        <f>AND('Reptiles and Amphibians'!V2,"AAAAABIvv5k=")</f>
        <v>#VALUE!</v>
      </c>
      <c r="EY35" t="e">
        <f>AND('Reptiles and Amphibians'!W2,"AAAAABIvv5o=")</f>
        <v>#VALUE!</v>
      </c>
      <c r="EZ35" t="e">
        <f>AND('Reptiles and Amphibians'!X2,"AAAAABIvv5s=")</f>
        <v>#VALUE!</v>
      </c>
      <c r="FA35" t="e">
        <f>AND('Reptiles and Amphibians'!Y2,"AAAAABIvv5w=")</f>
        <v>#VALUE!</v>
      </c>
      <c r="FB35" t="e">
        <f>AND('Reptiles and Amphibians'!Z2,"AAAAABIvv50=")</f>
        <v>#VALUE!</v>
      </c>
      <c r="FC35" t="e">
        <f>AND('Reptiles and Amphibians'!AA2,"AAAAABIvv54=")</f>
        <v>#VALUE!</v>
      </c>
      <c r="FD35" t="e">
        <f>AND('Reptiles and Amphibians'!AB2,"AAAAABIvv58=")</f>
        <v>#VALUE!</v>
      </c>
      <c r="FE35" t="e">
        <f>AND('Reptiles and Amphibians'!AC2,"AAAAABIvv6A=")</f>
        <v>#VALUE!</v>
      </c>
      <c r="FF35" t="e">
        <f>AND('Reptiles and Amphibians'!AD2,"AAAAABIvv6E=")</f>
        <v>#VALUE!</v>
      </c>
      <c r="FG35" t="e">
        <f>AND('Reptiles and Amphibians'!AE2,"AAAAABIvv6I=")</f>
        <v>#VALUE!</v>
      </c>
      <c r="FH35" t="e">
        <f>AND('Reptiles and Amphibians'!AF2,"AAAAABIvv6M=")</f>
        <v>#VALUE!</v>
      </c>
      <c r="FI35" t="e">
        <f>AND('Reptiles and Amphibians'!AG2,"AAAAABIvv6Q=")</f>
        <v>#VALUE!</v>
      </c>
      <c r="FJ35" t="e">
        <f>AND('Reptiles and Amphibians'!AH2,"AAAAABIvv6U=")</f>
        <v>#VALUE!</v>
      </c>
      <c r="FK35" t="e">
        <f>AND('Reptiles and Amphibians'!AI2,"AAAAABIvv6Y=")</f>
        <v>#VALUE!</v>
      </c>
      <c r="FL35" t="e">
        <f>AND('Reptiles and Amphibians'!AJ2,"AAAAABIvv6c=")</f>
        <v>#VALUE!</v>
      </c>
      <c r="FM35" t="e">
        <f>AND('Reptiles and Amphibians'!AK2,"AAAAABIvv6g=")</f>
        <v>#VALUE!</v>
      </c>
      <c r="FN35" t="e">
        <f>AND('Reptiles and Amphibians'!AL2,"AAAAABIvv6k=")</f>
        <v>#VALUE!</v>
      </c>
      <c r="FO35" t="e">
        <f>AND('Reptiles and Amphibians'!AM2,"AAAAABIvv6o=")</f>
        <v>#VALUE!</v>
      </c>
      <c r="FP35" t="e">
        <f>AND('Reptiles and Amphibians'!AN2,"AAAAABIvv6s=")</f>
        <v>#VALUE!</v>
      </c>
      <c r="FQ35" t="e">
        <f>AND('Reptiles and Amphibians'!AO2,"AAAAABIvv6w=")</f>
        <v>#VALUE!</v>
      </c>
      <c r="FR35">
        <f>IF('Reptiles and Amphibians'!3:3,"AAAAABIvv60=",0)</f>
        <v>0</v>
      </c>
      <c r="FS35" t="e">
        <f>AND('Reptiles and Amphibians'!A3,"AAAAABIvv64=")</f>
        <v>#VALUE!</v>
      </c>
      <c r="FT35" t="e">
        <f>AND('Reptiles and Amphibians'!B3,"AAAAABIvv68=")</f>
        <v>#VALUE!</v>
      </c>
      <c r="FU35" t="e">
        <f>AND('Reptiles and Amphibians'!C3,"AAAAABIvv7A=")</f>
        <v>#VALUE!</v>
      </c>
      <c r="FV35" t="e">
        <f>AND('Reptiles and Amphibians'!D3,"AAAAABIvv7E=")</f>
        <v>#VALUE!</v>
      </c>
      <c r="FW35" t="e">
        <f>AND('Reptiles and Amphibians'!E3,"AAAAABIvv7I=")</f>
        <v>#VALUE!</v>
      </c>
      <c r="FX35" t="e">
        <f>AND('Reptiles and Amphibians'!F3,"AAAAABIvv7M=")</f>
        <v>#VALUE!</v>
      </c>
      <c r="FY35" t="e">
        <f>AND('Reptiles and Amphibians'!G3,"AAAAABIvv7Q=")</f>
        <v>#VALUE!</v>
      </c>
      <c r="FZ35" t="e">
        <f>AND('Reptiles and Amphibians'!H3,"AAAAABIvv7U=")</f>
        <v>#VALUE!</v>
      </c>
      <c r="GA35" t="e">
        <f>AND('Reptiles and Amphibians'!I3,"AAAAABIvv7Y=")</f>
        <v>#VALUE!</v>
      </c>
      <c r="GB35" t="e">
        <f>AND('Reptiles and Amphibians'!J3,"AAAAABIvv7c=")</f>
        <v>#VALUE!</v>
      </c>
      <c r="GC35" t="e">
        <f>AND('Reptiles and Amphibians'!K3,"AAAAABIvv7g=")</f>
        <v>#VALUE!</v>
      </c>
      <c r="GD35" t="e">
        <f>AND('Reptiles and Amphibians'!L3,"AAAAABIvv7k=")</f>
        <v>#VALUE!</v>
      </c>
      <c r="GE35" t="e">
        <f>AND('Reptiles and Amphibians'!M3,"AAAAABIvv7o=")</f>
        <v>#VALUE!</v>
      </c>
      <c r="GF35" t="e">
        <f>AND('Reptiles and Amphibians'!N3,"AAAAABIvv7s=")</f>
        <v>#VALUE!</v>
      </c>
      <c r="GG35" t="e">
        <f>AND('Reptiles and Amphibians'!O3,"AAAAABIvv7w=")</f>
        <v>#VALUE!</v>
      </c>
      <c r="GH35" t="e">
        <f>AND('Reptiles and Amphibians'!P3,"AAAAABIvv70=")</f>
        <v>#VALUE!</v>
      </c>
      <c r="GI35" t="e">
        <f>AND('Reptiles and Amphibians'!Q3,"AAAAABIvv74=")</f>
        <v>#VALUE!</v>
      </c>
      <c r="GJ35" t="e">
        <f>AND('Reptiles and Amphibians'!R3,"AAAAABIvv78=")</f>
        <v>#VALUE!</v>
      </c>
      <c r="GK35" t="e">
        <f>AND('Reptiles and Amphibians'!S3,"AAAAABIvv8A=")</f>
        <v>#VALUE!</v>
      </c>
      <c r="GL35" t="e">
        <f>AND('Reptiles and Amphibians'!T3,"AAAAABIvv8E=")</f>
        <v>#VALUE!</v>
      </c>
      <c r="GM35" t="e">
        <f>AND('Reptiles and Amphibians'!U3,"AAAAABIvv8I=")</f>
        <v>#VALUE!</v>
      </c>
      <c r="GN35" t="e">
        <f>AND('Reptiles and Amphibians'!V3,"AAAAABIvv8M=")</f>
        <v>#VALUE!</v>
      </c>
      <c r="GO35" t="e">
        <f>AND('Reptiles and Amphibians'!W3,"AAAAABIvv8Q=")</f>
        <v>#VALUE!</v>
      </c>
      <c r="GP35" t="e">
        <f>AND('Reptiles and Amphibians'!X3,"AAAAABIvv8U=")</f>
        <v>#VALUE!</v>
      </c>
      <c r="GQ35" t="e">
        <f>AND('Reptiles and Amphibians'!Y3,"AAAAABIvv8Y=")</f>
        <v>#VALUE!</v>
      </c>
      <c r="GR35" t="e">
        <f>AND('Reptiles and Amphibians'!Z3,"AAAAABIvv8c=")</f>
        <v>#VALUE!</v>
      </c>
      <c r="GS35" t="e">
        <f>AND('Reptiles and Amphibians'!AA3,"AAAAABIvv8g=")</f>
        <v>#VALUE!</v>
      </c>
      <c r="GT35" t="e">
        <f>AND('Reptiles and Amphibians'!AB3,"AAAAABIvv8k=")</f>
        <v>#VALUE!</v>
      </c>
      <c r="GU35" t="e">
        <f>AND('Reptiles and Amphibians'!AC3,"AAAAABIvv8o=")</f>
        <v>#VALUE!</v>
      </c>
      <c r="GV35" t="e">
        <f>AND('Reptiles and Amphibians'!AD3,"AAAAABIvv8s=")</f>
        <v>#VALUE!</v>
      </c>
      <c r="GW35" t="e">
        <f>AND('Reptiles and Amphibians'!AE3,"AAAAABIvv8w=")</f>
        <v>#VALUE!</v>
      </c>
      <c r="GX35" t="e">
        <f>AND('Reptiles and Amphibians'!AF3,"AAAAABIvv80=")</f>
        <v>#VALUE!</v>
      </c>
      <c r="GY35" t="e">
        <f>AND('Reptiles and Amphibians'!AG3,"AAAAABIvv84=")</f>
        <v>#VALUE!</v>
      </c>
      <c r="GZ35" t="e">
        <f>AND('Reptiles and Amphibians'!AH3,"AAAAABIvv88=")</f>
        <v>#VALUE!</v>
      </c>
      <c r="HA35" t="e">
        <f>AND('Reptiles and Amphibians'!AI3,"AAAAABIvv9A=")</f>
        <v>#VALUE!</v>
      </c>
      <c r="HB35" t="e">
        <f>AND('Reptiles and Amphibians'!AJ3,"AAAAABIvv9E=")</f>
        <v>#VALUE!</v>
      </c>
      <c r="HC35" t="e">
        <f>AND('Reptiles and Amphibians'!AK3,"AAAAABIvv9I=")</f>
        <v>#VALUE!</v>
      </c>
      <c r="HD35" t="e">
        <f>AND('Reptiles and Amphibians'!AL3,"AAAAABIvv9M=")</f>
        <v>#VALUE!</v>
      </c>
      <c r="HE35" t="e">
        <f>AND('Reptiles and Amphibians'!AM3,"AAAAABIvv9Q=")</f>
        <v>#VALUE!</v>
      </c>
      <c r="HF35" t="e">
        <f>AND('Reptiles and Amphibians'!AN3,"AAAAABIvv9U=")</f>
        <v>#VALUE!</v>
      </c>
      <c r="HG35" t="e">
        <f>AND('Reptiles and Amphibians'!AO3,"AAAAABIvv9Y=")</f>
        <v>#VALUE!</v>
      </c>
      <c r="HH35">
        <f>IF('Reptiles and Amphibians'!4:4,"AAAAABIvv9c=",0)</f>
        <v>0</v>
      </c>
      <c r="HI35" t="e">
        <f>AND('Reptiles and Amphibians'!A4,"AAAAABIvv9g=")</f>
        <v>#VALUE!</v>
      </c>
      <c r="HJ35" t="e">
        <f>AND('Reptiles and Amphibians'!B4,"AAAAABIvv9k=")</f>
        <v>#VALUE!</v>
      </c>
      <c r="HK35" t="e">
        <f>AND('Reptiles and Amphibians'!C4,"AAAAABIvv9o=")</f>
        <v>#VALUE!</v>
      </c>
      <c r="HL35" t="e">
        <f>AND('Reptiles and Amphibians'!D4,"AAAAABIvv9s=")</f>
        <v>#VALUE!</v>
      </c>
      <c r="HM35" t="e">
        <f>AND('Reptiles and Amphibians'!E4,"AAAAABIvv9w=")</f>
        <v>#VALUE!</v>
      </c>
      <c r="HN35" t="e">
        <f>AND('Reptiles and Amphibians'!F4,"AAAAABIvv90=")</f>
        <v>#VALUE!</v>
      </c>
      <c r="HO35" t="e">
        <f>AND('Reptiles and Amphibians'!G4,"AAAAABIvv94=")</f>
        <v>#VALUE!</v>
      </c>
      <c r="HP35" t="e">
        <f>AND('Reptiles and Amphibians'!H4,"AAAAABIvv98=")</f>
        <v>#VALUE!</v>
      </c>
      <c r="HQ35" t="e">
        <f>AND('Reptiles and Amphibians'!I4,"AAAAABIvv+A=")</f>
        <v>#VALUE!</v>
      </c>
      <c r="HR35" t="e">
        <f>AND('Reptiles and Amphibians'!J4,"AAAAABIvv+E=")</f>
        <v>#VALUE!</v>
      </c>
      <c r="HS35" t="e">
        <f>AND('Reptiles and Amphibians'!K4,"AAAAABIvv+I=")</f>
        <v>#VALUE!</v>
      </c>
      <c r="HT35" t="e">
        <f>AND('Reptiles and Amphibians'!L4,"AAAAABIvv+M=")</f>
        <v>#VALUE!</v>
      </c>
      <c r="HU35" t="e">
        <f>AND('Reptiles and Amphibians'!M4,"AAAAABIvv+Q=")</f>
        <v>#VALUE!</v>
      </c>
      <c r="HV35" t="e">
        <f>AND('Reptiles and Amphibians'!N4,"AAAAABIvv+U=")</f>
        <v>#VALUE!</v>
      </c>
      <c r="HW35" t="e">
        <f>AND('Reptiles and Amphibians'!O4,"AAAAABIvv+Y=")</f>
        <v>#VALUE!</v>
      </c>
      <c r="HX35" t="e">
        <f>AND('Reptiles and Amphibians'!P4,"AAAAABIvv+c=")</f>
        <v>#VALUE!</v>
      </c>
      <c r="HY35" t="e">
        <f>AND('Reptiles and Amphibians'!Q4,"AAAAABIvv+g=")</f>
        <v>#VALUE!</v>
      </c>
      <c r="HZ35" t="e">
        <f>AND('Reptiles and Amphibians'!R4,"AAAAABIvv+k=")</f>
        <v>#VALUE!</v>
      </c>
      <c r="IA35" t="e">
        <f>AND('Reptiles and Amphibians'!S4,"AAAAABIvv+o=")</f>
        <v>#VALUE!</v>
      </c>
      <c r="IB35" t="e">
        <f>AND('Reptiles and Amphibians'!T4,"AAAAABIvv+s=")</f>
        <v>#VALUE!</v>
      </c>
      <c r="IC35" t="e">
        <f>AND('Reptiles and Amphibians'!U4,"AAAAABIvv+w=")</f>
        <v>#VALUE!</v>
      </c>
      <c r="ID35" t="e">
        <f>AND('Reptiles and Amphibians'!V4,"AAAAABIvv+0=")</f>
        <v>#VALUE!</v>
      </c>
      <c r="IE35" t="e">
        <f>AND('Reptiles and Amphibians'!W4,"AAAAABIvv+4=")</f>
        <v>#VALUE!</v>
      </c>
      <c r="IF35" t="e">
        <f>AND('Reptiles and Amphibians'!X4,"AAAAABIvv+8=")</f>
        <v>#VALUE!</v>
      </c>
      <c r="IG35" t="e">
        <f>AND('Reptiles and Amphibians'!Y4,"AAAAABIvv/A=")</f>
        <v>#VALUE!</v>
      </c>
      <c r="IH35" t="e">
        <f>AND('Reptiles and Amphibians'!Z4,"AAAAABIvv/E=")</f>
        <v>#VALUE!</v>
      </c>
      <c r="II35" t="e">
        <f>AND('Reptiles and Amphibians'!AA4,"AAAAABIvv/I=")</f>
        <v>#VALUE!</v>
      </c>
      <c r="IJ35" t="e">
        <f>AND('Reptiles and Amphibians'!AB4,"AAAAABIvv/M=")</f>
        <v>#VALUE!</v>
      </c>
      <c r="IK35" t="e">
        <f>AND('Reptiles and Amphibians'!AC4,"AAAAABIvv/Q=")</f>
        <v>#VALUE!</v>
      </c>
      <c r="IL35" t="e">
        <f>AND('Reptiles and Amphibians'!AD4,"AAAAABIvv/U=")</f>
        <v>#VALUE!</v>
      </c>
      <c r="IM35" t="e">
        <f>AND('Reptiles and Amphibians'!AE4,"AAAAABIvv/Y=")</f>
        <v>#VALUE!</v>
      </c>
      <c r="IN35" t="e">
        <f>AND('Reptiles and Amphibians'!AF4,"AAAAABIvv/c=")</f>
        <v>#VALUE!</v>
      </c>
      <c r="IO35" t="e">
        <f>AND('Reptiles and Amphibians'!AG4,"AAAAABIvv/g=")</f>
        <v>#VALUE!</v>
      </c>
      <c r="IP35" t="e">
        <f>AND('Reptiles and Amphibians'!AH4,"AAAAABIvv/k=")</f>
        <v>#VALUE!</v>
      </c>
      <c r="IQ35" t="e">
        <f>AND('Reptiles and Amphibians'!AI4,"AAAAABIvv/o=")</f>
        <v>#VALUE!</v>
      </c>
      <c r="IR35" t="e">
        <f>AND('Reptiles and Amphibians'!AJ4,"AAAAABIvv/s=")</f>
        <v>#VALUE!</v>
      </c>
      <c r="IS35" t="e">
        <f>AND('Reptiles and Amphibians'!AK4,"AAAAABIvv/w=")</f>
        <v>#VALUE!</v>
      </c>
      <c r="IT35" t="e">
        <f>AND('Reptiles and Amphibians'!AL4,"AAAAABIvv/0=")</f>
        <v>#VALUE!</v>
      </c>
      <c r="IU35" t="e">
        <f>AND('Reptiles and Amphibians'!AM4,"AAAAABIvv/4=")</f>
        <v>#VALUE!</v>
      </c>
      <c r="IV35" t="e">
        <f>AND('Reptiles and Amphibians'!AN4,"AAAAABIvv/8=")</f>
        <v>#VALUE!</v>
      </c>
    </row>
    <row r="36" spans="1:256">
      <c r="A36" t="e">
        <f>AND('Reptiles and Amphibians'!AO4,"AAAAAH/+3wA=")</f>
        <v>#VALUE!</v>
      </c>
      <c r="B36" t="e">
        <f>IF('Reptiles and Amphibians'!5:5,"AAAAAH/+3wE=",0)</f>
        <v>#VALUE!</v>
      </c>
      <c r="C36" t="e">
        <f>AND('Reptiles and Amphibians'!A5,"AAAAAH/+3wI=")</f>
        <v>#VALUE!</v>
      </c>
      <c r="D36" t="e">
        <f>AND('Reptiles and Amphibians'!B5,"AAAAAH/+3wM=")</f>
        <v>#VALUE!</v>
      </c>
      <c r="E36" t="e">
        <f>AND('Reptiles and Amphibians'!C5,"AAAAAH/+3wQ=")</f>
        <v>#VALUE!</v>
      </c>
      <c r="F36" t="e">
        <f>AND('Reptiles and Amphibians'!D5,"AAAAAH/+3wU=")</f>
        <v>#VALUE!</v>
      </c>
      <c r="G36" t="e">
        <f>AND('Reptiles and Amphibians'!E5,"AAAAAH/+3wY=")</f>
        <v>#VALUE!</v>
      </c>
      <c r="H36" t="e">
        <f>AND('Reptiles and Amphibians'!F5,"AAAAAH/+3wc=")</f>
        <v>#VALUE!</v>
      </c>
      <c r="I36" t="e">
        <f>AND('Reptiles and Amphibians'!G5,"AAAAAH/+3wg=")</f>
        <v>#VALUE!</v>
      </c>
      <c r="J36" t="e">
        <f>AND('Reptiles and Amphibians'!H5,"AAAAAH/+3wk=")</f>
        <v>#VALUE!</v>
      </c>
      <c r="K36" t="e">
        <f>AND('Reptiles and Amphibians'!I5,"AAAAAH/+3wo=")</f>
        <v>#VALUE!</v>
      </c>
      <c r="L36" t="e">
        <f>AND('Reptiles and Amphibians'!J5,"AAAAAH/+3ws=")</f>
        <v>#VALUE!</v>
      </c>
      <c r="M36" t="e">
        <f>AND('Reptiles and Amphibians'!K5,"AAAAAH/+3ww=")</f>
        <v>#VALUE!</v>
      </c>
      <c r="N36" t="e">
        <f>AND('Reptiles and Amphibians'!L5,"AAAAAH/+3w0=")</f>
        <v>#VALUE!</v>
      </c>
      <c r="O36" t="e">
        <f>AND('Reptiles and Amphibians'!M5,"AAAAAH/+3w4=")</f>
        <v>#VALUE!</v>
      </c>
      <c r="P36" t="e">
        <f>AND('Reptiles and Amphibians'!N5,"AAAAAH/+3w8=")</f>
        <v>#VALUE!</v>
      </c>
      <c r="Q36" t="e">
        <f>AND('Reptiles and Amphibians'!O5,"AAAAAH/+3xA=")</f>
        <v>#VALUE!</v>
      </c>
      <c r="R36" t="e">
        <f>AND('Reptiles and Amphibians'!P5,"AAAAAH/+3xE=")</f>
        <v>#VALUE!</v>
      </c>
      <c r="S36" t="e">
        <f>AND('Reptiles and Amphibians'!Q5,"AAAAAH/+3xI=")</f>
        <v>#VALUE!</v>
      </c>
      <c r="T36" t="e">
        <f>AND('Reptiles and Amphibians'!R5,"AAAAAH/+3xM=")</f>
        <v>#VALUE!</v>
      </c>
      <c r="U36" t="e">
        <f>AND('Reptiles and Amphibians'!S5,"AAAAAH/+3xQ=")</f>
        <v>#VALUE!</v>
      </c>
      <c r="V36" t="e">
        <f>AND('Reptiles and Amphibians'!T5,"AAAAAH/+3xU=")</f>
        <v>#VALUE!</v>
      </c>
      <c r="W36" t="e">
        <f>AND('Reptiles and Amphibians'!U5,"AAAAAH/+3xY=")</f>
        <v>#VALUE!</v>
      </c>
      <c r="X36" t="e">
        <f>AND('Reptiles and Amphibians'!V5,"AAAAAH/+3xc=")</f>
        <v>#VALUE!</v>
      </c>
      <c r="Y36" t="e">
        <f>AND('Reptiles and Amphibians'!W5,"AAAAAH/+3xg=")</f>
        <v>#VALUE!</v>
      </c>
      <c r="Z36" t="e">
        <f>AND('Reptiles and Amphibians'!X5,"AAAAAH/+3xk=")</f>
        <v>#VALUE!</v>
      </c>
      <c r="AA36" t="e">
        <f>AND('Reptiles and Amphibians'!Y5,"AAAAAH/+3xo=")</f>
        <v>#VALUE!</v>
      </c>
      <c r="AB36" t="e">
        <f>AND('Reptiles and Amphibians'!Z5,"AAAAAH/+3xs=")</f>
        <v>#VALUE!</v>
      </c>
      <c r="AC36" t="e">
        <f>AND('Reptiles and Amphibians'!AA5,"AAAAAH/+3xw=")</f>
        <v>#VALUE!</v>
      </c>
      <c r="AD36" t="e">
        <f>AND('Reptiles and Amphibians'!AB5,"AAAAAH/+3x0=")</f>
        <v>#VALUE!</v>
      </c>
      <c r="AE36" t="e">
        <f>AND('Reptiles and Amphibians'!AC5,"AAAAAH/+3x4=")</f>
        <v>#VALUE!</v>
      </c>
      <c r="AF36" t="e">
        <f>AND('Reptiles and Amphibians'!AD5,"AAAAAH/+3x8=")</f>
        <v>#VALUE!</v>
      </c>
      <c r="AG36" t="e">
        <f>AND('Reptiles and Amphibians'!AE5,"AAAAAH/+3yA=")</f>
        <v>#VALUE!</v>
      </c>
      <c r="AH36" t="e">
        <f>AND('Reptiles and Amphibians'!AF5,"AAAAAH/+3yE=")</f>
        <v>#VALUE!</v>
      </c>
      <c r="AI36" t="e">
        <f>AND('Reptiles and Amphibians'!AG5,"AAAAAH/+3yI=")</f>
        <v>#VALUE!</v>
      </c>
      <c r="AJ36" t="e">
        <f>AND('Reptiles and Amphibians'!AH5,"AAAAAH/+3yM=")</f>
        <v>#VALUE!</v>
      </c>
      <c r="AK36" t="e">
        <f>AND('Reptiles and Amphibians'!AI5,"AAAAAH/+3yQ=")</f>
        <v>#VALUE!</v>
      </c>
      <c r="AL36" t="e">
        <f>AND('Reptiles and Amphibians'!AJ5,"AAAAAH/+3yU=")</f>
        <v>#VALUE!</v>
      </c>
      <c r="AM36" t="e">
        <f>AND('Reptiles and Amphibians'!AK5,"AAAAAH/+3yY=")</f>
        <v>#VALUE!</v>
      </c>
      <c r="AN36" t="e">
        <f>AND('Reptiles and Amphibians'!AL5,"AAAAAH/+3yc=")</f>
        <v>#VALUE!</v>
      </c>
      <c r="AO36" t="e">
        <f>AND('Reptiles and Amphibians'!AM5,"AAAAAH/+3yg=")</f>
        <v>#VALUE!</v>
      </c>
      <c r="AP36" t="e">
        <f>AND('Reptiles and Amphibians'!AN5,"AAAAAH/+3yk=")</f>
        <v>#VALUE!</v>
      </c>
      <c r="AQ36" t="e">
        <f>AND('Reptiles and Amphibians'!AO5,"AAAAAH/+3yo=")</f>
        <v>#VALUE!</v>
      </c>
      <c r="AR36">
        <f>IF('Reptiles and Amphibians'!6:6,"AAAAAH/+3ys=",0)</f>
        <v>0</v>
      </c>
      <c r="AS36" t="e">
        <f>AND('Reptiles and Amphibians'!A6,"AAAAAH/+3yw=")</f>
        <v>#VALUE!</v>
      </c>
      <c r="AT36" t="e">
        <f>AND('Reptiles and Amphibians'!B6,"AAAAAH/+3y0=")</f>
        <v>#VALUE!</v>
      </c>
      <c r="AU36" t="e">
        <f>AND('Reptiles and Amphibians'!C6,"AAAAAH/+3y4=")</f>
        <v>#VALUE!</v>
      </c>
      <c r="AV36" t="e">
        <f>AND('Reptiles and Amphibians'!D6,"AAAAAH/+3y8=")</f>
        <v>#VALUE!</v>
      </c>
      <c r="AW36" t="e">
        <f>AND('Reptiles and Amphibians'!E6,"AAAAAH/+3zA=")</f>
        <v>#VALUE!</v>
      </c>
      <c r="AX36" t="e">
        <f>AND('Reptiles and Amphibians'!F6,"AAAAAH/+3zE=")</f>
        <v>#VALUE!</v>
      </c>
      <c r="AY36" t="e">
        <f>AND('Reptiles and Amphibians'!G6,"AAAAAH/+3zI=")</f>
        <v>#VALUE!</v>
      </c>
      <c r="AZ36" t="e">
        <f>AND('Reptiles and Amphibians'!H6,"AAAAAH/+3zM=")</f>
        <v>#VALUE!</v>
      </c>
      <c r="BA36" t="e">
        <f>AND('Reptiles and Amphibians'!I6,"AAAAAH/+3zQ=")</f>
        <v>#VALUE!</v>
      </c>
      <c r="BB36" t="e">
        <f>AND('Reptiles and Amphibians'!J6,"AAAAAH/+3zU=")</f>
        <v>#VALUE!</v>
      </c>
      <c r="BC36" t="e">
        <f>AND('Reptiles and Amphibians'!K6,"AAAAAH/+3zY=")</f>
        <v>#VALUE!</v>
      </c>
      <c r="BD36" t="e">
        <f>AND('Reptiles and Amphibians'!L6,"AAAAAH/+3zc=")</f>
        <v>#VALUE!</v>
      </c>
      <c r="BE36" t="e">
        <f>AND('Reptiles and Amphibians'!M6,"AAAAAH/+3zg=")</f>
        <v>#VALUE!</v>
      </c>
      <c r="BF36" t="e">
        <f>AND('Reptiles and Amphibians'!N6,"AAAAAH/+3zk=")</f>
        <v>#VALUE!</v>
      </c>
      <c r="BG36" t="e">
        <f>AND('Reptiles and Amphibians'!O6,"AAAAAH/+3zo=")</f>
        <v>#VALUE!</v>
      </c>
      <c r="BH36" t="e">
        <f>AND('Reptiles and Amphibians'!P6,"AAAAAH/+3zs=")</f>
        <v>#VALUE!</v>
      </c>
      <c r="BI36" t="e">
        <f>AND('Reptiles and Amphibians'!Q6,"AAAAAH/+3zw=")</f>
        <v>#VALUE!</v>
      </c>
      <c r="BJ36" t="e">
        <f>AND('Reptiles and Amphibians'!R6,"AAAAAH/+3z0=")</f>
        <v>#VALUE!</v>
      </c>
      <c r="BK36" t="e">
        <f>AND('Reptiles and Amphibians'!S6,"AAAAAH/+3z4=")</f>
        <v>#VALUE!</v>
      </c>
      <c r="BL36" t="e">
        <f>AND('Reptiles and Amphibians'!T6,"AAAAAH/+3z8=")</f>
        <v>#VALUE!</v>
      </c>
      <c r="BM36" t="e">
        <f>AND('Reptiles and Amphibians'!U6,"AAAAAH/+30A=")</f>
        <v>#VALUE!</v>
      </c>
      <c r="BN36" t="e">
        <f>AND('Reptiles and Amphibians'!V6,"AAAAAH/+30E=")</f>
        <v>#VALUE!</v>
      </c>
      <c r="BO36" t="e">
        <f>AND('Reptiles and Amphibians'!W6,"AAAAAH/+30I=")</f>
        <v>#VALUE!</v>
      </c>
      <c r="BP36" t="e">
        <f>AND('Reptiles and Amphibians'!X6,"AAAAAH/+30M=")</f>
        <v>#VALUE!</v>
      </c>
      <c r="BQ36" t="e">
        <f>AND('Reptiles and Amphibians'!Y6,"AAAAAH/+30Q=")</f>
        <v>#VALUE!</v>
      </c>
      <c r="BR36" t="e">
        <f>AND('Reptiles and Amphibians'!Z6,"AAAAAH/+30U=")</f>
        <v>#VALUE!</v>
      </c>
      <c r="BS36" t="e">
        <f>AND('Reptiles and Amphibians'!AA6,"AAAAAH/+30Y=")</f>
        <v>#VALUE!</v>
      </c>
      <c r="BT36" t="e">
        <f>AND('Reptiles and Amphibians'!AB6,"AAAAAH/+30c=")</f>
        <v>#VALUE!</v>
      </c>
      <c r="BU36" t="e">
        <f>AND('Reptiles and Amphibians'!AC6,"AAAAAH/+30g=")</f>
        <v>#VALUE!</v>
      </c>
      <c r="BV36" t="e">
        <f>AND('Reptiles and Amphibians'!AD6,"AAAAAH/+30k=")</f>
        <v>#VALUE!</v>
      </c>
      <c r="BW36" t="e">
        <f>AND('Reptiles and Amphibians'!AE6,"AAAAAH/+30o=")</f>
        <v>#VALUE!</v>
      </c>
      <c r="BX36" t="e">
        <f>AND('Reptiles and Amphibians'!AF6,"AAAAAH/+30s=")</f>
        <v>#VALUE!</v>
      </c>
      <c r="BY36" t="e">
        <f>AND('Reptiles and Amphibians'!AG6,"AAAAAH/+30w=")</f>
        <v>#VALUE!</v>
      </c>
      <c r="BZ36" t="e">
        <f>AND('Reptiles and Amphibians'!AH6,"AAAAAH/+300=")</f>
        <v>#VALUE!</v>
      </c>
      <c r="CA36" t="e">
        <f>AND('Reptiles and Amphibians'!AI6,"AAAAAH/+304=")</f>
        <v>#VALUE!</v>
      </c>
      <c r="CB36" t="e">
        <f>AND('Reptiles and Amphibians'!AJ6,"AAAAAH/+308=")</f>
        <v>#VALUE!</v>
      </c>
      <c r="CC36" t="e">
        <f>AND('Reptiles and Amphibians'!AK6,"AAAAAH/+31A=")</f>
        <v>#VALUE!</v>
      </c>
      <c r="CD36" t="e">
        <f>AND('Reptiles and Amphibians'!AL6,"AAAAAH/+31E=")</f>
        <v>#VALUE!</v>
      </c>
      <c r="CE36" t="e">
        <f>AND('Reptiles and Amphibians'!AM6,"AAAAAH/+31I=")</f>
        <v>#VALUE!</v>
      </c>
      <c r="CF36" t="e">
        <f>AND('Reptiles and Amphibians'!AN6,"AAAAAH/+31M=")</f>
        <v>#VALUE!</v>
      </c>
      <c r="CG36" t="e">
        <f>AND('Reptiles and Amphibians'!AO6,"AAAAAH/+31Q=")</f>
        <v>#VALUE!</v>
      </c>
      <c r="CH36">
        <f>IF('Reptiles and Amphibians'!7:7,"AAAAAH/+31U=",0)</f>
        <v>0</v>
      </c>
      <c r="CI36" t="e">
        <f>AND('Reptiles and Amphibians'!A7,"AAAAAH/+31Y=")</f>
        <v>#VALUE!</v>
      </c>
      <c r="CJ36" t="e">
        <f>AND('Reptiles and Amphibians'!B7,"AAAAAH/+31c=")</f>
        <v>#VALUE!</v>
      </c>
      <c r="CK36" t="e">
        <f>AND('Reptiles and Amphibians'!C7,"AAAAAH/+31g=")</f>
        <v>#VALUE!</v>
      </c>
      <c r="CL36" t="e">
        <f>AND('Reptiles and Amphibians'!D7,"AAAAAH/+31k=")</f>
        <v>#VALUE!</v>
      </c>
      <c r="CM36" t="e">
        <f>AND('Reptiles and Amphibians'!E7,"AAAAAH/+31o=")</f>
        <v>#VALUE!</v>
      </c>
      <c r="CN36" t="e">
        <f>AND('Reptiles and Amphibians'!F7,"AAAAAH/+31s=")</f>
        <v>#VALUE!</v>
      </c>
      <c r="CO36" t="e">
        <f>AND('Reptiles and Amphibians'!G7,"AAAAAH/+31w=")</f>
        <v>#VALUE!</v>
      </c>
      <c r="CP36" t="e">
        <f>AND('Reptiles and Amphibians'!H7,"AAAAAH/+310=")</f>
        <v>#VALUE!</v>
      </c>
      <c r="CQ36" t="e">
        <f>AND('Reptiles and Amphibians'!I7,"AAAAAH/+314=")</f>
        <v>#VALUE!</v>
      </c>
      <c r="CR36" t="e">
        <f>AND('Reptiles and Amphibians'!J7,"AAAAAH/+318=")</f>
        <v>#VALUE!</v>
      </c>
      <c r="CS36" t="e">
        <f>AND('Reptiles and Amphibians'!K7,"AAAAAH/+32A=")</f>
        <v>#VALUE!</v>
      </c>
      <c r="CT36" t="e">
        <f>AND('Reptiles and Amphibians'!L7,"AAAAAH/+32E=")</f>
        <v>#VALUE!</v>
      </c>
      <c r="CU36" t="e">
        <f>AND('Reptiles and Amphibians'!M7,"AAAAAH/+32I=")</f>
        <v>#VALUE!</v>
      </c>
      <c r="CV36" t="e">
        <f>AND('Reptiles and Amphibians'!N7,"AAAAAH/+32M=")</f>
        <v>#VALUE!</v>
      </c>
      <c r="CW36" t="e">
        <f>AND('Reptiles and Amphibians'!O7,"AAAAAH/+32Q=")</f>
        <v>#VALUE!</v>
      </c>
      <c r="CX36" t="e">
        <f>AND('Reptiles and Amphibians'!P7,"AAAAAH/+32U=")</f>
        <v>#VALUE!</v>
      </c>
      <c r="CY36" t="e">
        <f>AND('Reptiles and Amphibians'!Q7,"AAAAAH/+32Y=")</f>
        <v>#VALUE!</v>
      </c>
      <c r="CZ36" t="e">
        <f>AND('Reptiles and Amphibians'!R7,"AAAAAH/+32c=")</f>
        <v>#VALUE!</v>
      </c>
      <c r="DA36" t="e">
        <f>AND('Reptiles and Amphibians'!S7,"AAAAAH/+32g=")</f>
        <v>#VALUE!</v>
      </c>
      <c r="DB36" t="e">
        <f>AND('Reptiles and Amphibians'!T7,"AAAAAH/+32k=")</f>
        <v>#VALUE!</v>
      </c>
      <c r="DC36" t="e">
        <f>AND('Reptiles and Amphibians'!U7,"AAAAAH/+32o=")</f>
        <v>#VALUE!</v>
      </c>
      <c r="DD36" t="e">
        <f>AND('Reptiles and Amphibians'!V7,"AAAAAH/+32s=")</f>
        <v>#VALUE!</v>
      </c>
      <c r="DE36" t="e">
        <f>AND('Reptiles and Amphibians'!W7,"AAAAAH/+32w=")</f>
        <v>#VALUE!</v>
      </c>
      <c r="DF36" t="e">
        <f>AND('Reptiles and Amphibians'!X7,"AAAAAH/+320=")</f>
        <v>#VALUE!</v>
      </c>
      <c r="DG36" t="e">
        <f>AND('Reptiles and Amphibians'!Y7,"AAAAAH/+324=")</f>
        <v>#VALUE!</v>
      </c>
      <c r="DH36" t="e">
        <f>AND('Reptiles and Amphibians'!Z7,"AAAAAH/+328=")</f>
        <v>#VALUE!</v>
      </c>
      <c r="DI36" t="e">
        <f>AND('Reptiles and Amphibians'!AA7,"AAAAAH/+33A=")</f>
        <v>#VALUE!</v>
      </c>
      <c r="DJ36" t="e">
        <f>AND('Reptiles and Amphibians'!AB7,"AAAAAH/+33E=")</f>
        <v>#VALUE!</v>
      </c>
      <c r="DK36" t="e">
        <f>AND('Reptiles and Amphibians'!AC7,"AAAAAH/+33I=")</f>
        <v>#VALUE!</v>
      </c>
      <c r="DL36" t="e">
        <f>AND('Reptiles and Amphibians'!AD7,"AAAAAH/+33M=")</f>
        <v>#VALUE!</v>
      </c>
      <c r="DM36" t="e">
        <f>AND('Reptiles and Amphibians'!AE7,"AAAAAH/+33Q=")</f>
        <v>#VALUE!</v>
      </c>
      <c r="DN36" t="e">
        <f>AND('Reptiles and Amphibians'!AF7,"AAAAAH/+33U=")</f>
        <v>#VALUE!</v>
      </c>
      <c r="DO36" t="e">
        <f>AND('Reptiles and Amphibians'!AG7,"AAAAAH/+33Y=")</f>
        <v>#VALUE!</v>
      </c>
      <c r="DP36" t="e">
        <f>AND('Reptiles and Amphibians'!AH7,"AAAAAH/+33c=")</f>
        <v>#VALUE!</v>
      </c>
      <c r="DQ36" t="e">
        <f>AND('Reptiles and Amphibians'!AI7,"AAAAAH/+33g=")</f>
        <v>#VALUE!</v>
      </c>
      <c r="DR36" t="e">
        <f>AND('Reptiles and Amphibians'!AJ7,"AAAAAH/+33k=")</f>
        <v>#VALUE!</v>
      </c>
      <c r="DS36" t="e">
        <f>AND('Reptiles and Amphibians'!AK7,"AAAAAH/+33o=")</f>
        <v>#VALUE!</v>
      </c>
      <c r="DT36" t="e">
        <f>AND('Reptiles and Amphibians'!AL7,"AAAAAH/+33s=")</f>
        <v>#VALUE!</v>
      </c>
      <c r="DU36" t="e">
        <f>AND('Reptiles and Amphibians'!AM7,"AAAAAH/+33w=")</f>
        <v>#VALUE!</v>
      </c>
      <c r="DV36" t="e">
        <f>AND('Reptiles and Amphibians'!AN7,"AAAAAH/+330=")</f>
        <v>#VALUE!</v>
      </c>
      <c r="DW36" t="e">
        <f>AND('Reptiles and Amphibians'!AO7,"AAAAAH/+334=")</f>
        <v>#VALUE!</v>
      </c>
      <c r="DX36">
        <f>IF('Reptiles and Amphibians'!8:8,"AAAAAH/+338=",0)</f>
        <v>0</v>
      </c>
      <c r="DY36" t="e">
        <f>AND('Reptiles and Amphibians'!A8,"AAAAAH/+34A=")</f>
        <v>#VALUE!</v>
      </c>
      <c r="DZ36" t="e">
        <f>AND('Reptiles and Amphibians'!B8,"AAAAAH/+34E=")</f>
        <v>#VALUE!</v>
      </c>
      <c r="EA36" t="e">
        <f>AND('Reptiles and Amphibians'!C8,"AAAAAH/+34I=")</f>
        <v>#VALUE!</v>
      </c>
      <c r="EB36" t="e">
        <f>AND('Reptiles and Amphibians'!D8,"AAAAAH/+34M=")</f>
        <v>#VALUE!</v>
      </c>
      <c r="EC36" t="e">
        <f>AND('Reptiles and Amphibians'!E8,"AAAAAH/+34Q=")</f>
        <v>#VALUE!</v>
      </c>
      <c r="ED36" t="e">
        <f>AND('Reptiles and Amphibians'!F8,"AAAAAH/+34U=")</f>
        <v>#VALUE!</v>
      </c>
      <c r="EE36" t="e">
        <f>AND('Reptiles and Amphibians'!G8,"AAAAAH/+34Y=")</f>
        <v>#VALUE!</v>
      </c>
      <c r="EF36" t="e">
        <f>AND('Reptiles and Amphibians'!H8,"AAAAAH/+34c=")</f>
        <v>#VALUE!</v>
      </c>
      <c r="EG36" t="e">
        <f>AND('Reptiles and Amphibians'!I8,"AAAAAH/+34g=")</f>
        <v>#VALUE!</v>
      </c>
      <c r="EH36" t="e">
        <f>AND('Reptiles and Amphibians'!J8,"AAAAAH/+34k=")</f>
        <v>#VALUE!</v>
      </c>
      <c r="EI36" t="e">
        <f>AND('Reptiles and Amphibians'!K8,"AAAAAH/+34o=")</f>
        <v>#VALUE!</v>
      </c>
      <c r="EJ36" t="e">
        <f>AND('Reptiles and Amphibians'!L8,"AAAAAH/+34s=")</f>
        <v>#VALUE!</v>
      </c>
      <c r="EK36" t="e">
        <f>AND('Reptiles and Amphibians'!M8,"AAAAAH/+34w=")</f>
        <v>#VALUE!</v>
      </c>
      <c r="EL36" t="e">
        <f>AND('Reptiles and Amphibians'!N8,"AAAAAH/+340=")</f>
        <v>#VALUE!</v>
      </c>
      <c r="EM36" t="e">
        <f>AND('Reptiles and Amphibians'!O8,"AAAAAH/+344=")</f>
        <v>#VALUE!</v>
      </c>
      <c r="EN36" t="e">
        <f>AND('Reptiles and Amphibians'!P8,"AAAAAH/+348=")</f>
        <v>#VALUE!</v>
      </c>
      <c r="EO36" t="e">
        <f>AND('Reptiles and Amphibians'!Q8,"AAAAAH/+35A=")</f>
        <v>#VALUE!</v>
      </c>
      <c r="EP36" t="e">
        <f>AND('Reptiles and Amphibians'!R8,"AAAAAH/+35E=")</f>
        <v>#VALUE!</v>
      </c>
      <c r="EQ36" t="e">
        <f>AND('Reptiles and Amphibians'!S8,"AAAAAH/+35I=")</f>
        <v>#VALUE!</v>
      </c>
      <c r="ER36" t="e">
        <f>AND('Reptiles and Amphibians'!T8,"AAAAAH/+35M=")</f>
        <v>#VALUE!</v>
      </c>
      <c r="ES36" t="e">
        <f>AND('Reptiles and Amphibians'!U8,"AAAAAH/+35Q=")</f>
        <v>#VALUE!</v>
      </c>
      <c r="ET36" t="e">
        <f>AND('Reptiles and Amphibians'!V8,"AAAAAH/+35U=")</f>
        <v>#VALUE!</v>
      </c>
      <c r="EU36" t="e">
        <f>AND('Reptiles and Amphibians'!W8,"AAAAAH/+35Y=")</f>
        <v>#VALUE!</v>
      </c>
      <c r="EV36" t="e">
        <f>AND('Reptiles and Amphibians'!X8,"AAAAAH/+35c=")</f>
        <v>#VALUE!</v>
      </c>
      <c r="EW36" t="e">
        <f>AND('Reptiles and Amphibians'!Y8,"AAAAAH/+35g=")</f>
        <v>#VALUE!</v>
      </c>
      <c r="EX36" t="e">
        <f>AND('Reptiles and Amphibians'!Z8,"AAAAAH/+35k=")</f>
        <v>#VALUE!</v>
      </c>
      <c r="EY36" t="e">
        <f>AND('Reptiles and Amphibians'!AA8,"AAAAAH/+35o=")</f>
        <v>#VALUE!</v>
      </c>
      <c r="EZ36" t="e">
        <f>AND('Reptiles and Amphibians'!AB8,"AAAAAH/+35s=")</f>
        <v>#VALUE!</v>
      </c>
      <c r="FA36" t="e">
        <f>AND('Reptiles and Amphibians'!AC8,"AAAAAH/+35w=")</f>
        <v>#VALUE!</v>
      </c>
      <c r="FB36" t="e">
        <f>AND('Reptiles and Amphibians'!AD8,"AAAAAH/+350=")</f>
        <v>#VALUE!</v>
      </c>
      <c r="FC36" t="e">
        <f>AND('Reptiles and Amphibians'!AE8,"AAAAAH/+354=")</f>
        <v>#VALUE!</v>
      </c>
      <c r="FD36" t="e">
        <f>AND('Reptiles and Amphibians'!AF8,"AAAAAH/+358=")</f>
        <v>#VALUE!</v>
      </c>
      <c r="FE36" t="e">
        <f>AND('Reptiles and Amphibians'!AG8,"AAAAAH/+36A=")</f>
        <v>#VALUE!</v>
      </c>
      <c r="FF36" t="e">
        <f>AND('Reptiles and Amphibians'!AH8,"AAAAAH/+36E=")</f>
        <v>#VALUE!</v>
      </c>
      <c r="FG36" t="e">
        <f>AND('Reptiles and Amphibians'!AI8,"AAAAAH/+36I=")</f>
        <v>#VALUE!</v>
      </c>
      <c r="FH36" t="e">
        <f>AND('Reptiles and Amphibians'!AJ8,"AAAAAH/+36M=")</f>
        <v>#VALUE!</v>
      </c>
      <c r="FI36" t="e">
        <f>AND('Reptiles and Amphibians'!AK8,"AAAAAH/+36Q=")</f>
        <v>#VALUE!</v>
      </c>
      <c r="FJ36" t="e">
        <f>AND('Reptiles and Amphibians'!AL8,"AAAAAH/+36U=")</f>
        <v>#VALUE!</v>
      </c>
      <c r="FK36" t="e">
        <f>AND('Reptiles and Amphibians'!AM8,"AAAAAH/+36Y=")</f>
        <v>#VALUE!</v>
      </c>
      <c r="FL36" t="e">
        <f>AND('Reptiles and Amphibians'!AN8,"AAAAAH/+36c=")</f>
        <v>#VALUE!</v>
      </c>
      <c r="FM36" t="e">
        <f>AND('Reptiles and Amphibians'!AO8,"AAAAAH/+36g=")</f>
        <v>#VALUE!</v>
      </c>
      <c r="FN36">
        <f>IF('Reptiles and Amphibians'!9:9,"AAAAAH/+36k=",0)</f>
        <v>0</v>
      </c>
      <c r="FO36" t="e">
        <f>AND('Reptiles and Amphibians'!A9,"AAAAAH/+36o=")</f>
        <v>#VALUE!</v>
      </c>
      <c r="FP36" t="e">
        <f>AND('Reptiles and Amphibians'!B9,"AAAAAH/+36s=")</f>
        <v>#VALUE!</v>
      </c>
      <c r="FQ36" t="e">
        <f>AND('Reptiles and Amphibians'!C9,"AAAAAH/+36w=")</f>
        <v>#VALUE!</v>
      </c>
      <c r="FR36" t="e">
        <f>AND('Reptiles and Amphibians'!D9,"AAAAAH/+360=")</f>
        <v>#VALUE!</v>
      </c>
      <c r="FS36" t="e">
        <f>AND('Reptiles and Amphibians'!E9,"AAAAAH/+364=")</f>
        <v>#VALUE!</v>
      </c>
      <c r="FT36" t="e">
        <f>AND('Reptiles and Amphibians'!F9,"AAAAAH/+368=")</f>
        <v>#VALUE!</v>
      </c>
      <c r="FU36" t="e">
        <f>AND('Reptiles and Amphibians'!G9,"AAAAAH/+37A=")</f>
        <v>#VALUE!</v>
      </c>
      <c r="FV36" t="e">
        <f>AND('Reptiles and Amphibians'!H9,"AAAAAH/+37E=")</f>
        <v>#VALUE!</v>
      </c>
      <c r="FW36" t="e">
        <f>AND('Reptiles and Amphibians'!I9,"AAAAAH/+37I=")</f>
        <v>#VALUE!</v>
      </c>
      <c r="FX36" t="e">
        <f>AND('Reptiles and Amphibians'!J9,"AAAAAH/+37M=")</f>
        <v>#VALUE!</v>
      </c>
      <c r="FY36" t="e">
        <f>AND('Reptiles and Amphibians'!K9,"AAAAAH/+37Q=")</f>
        <v>#VALUE!</v>
      </c>
      <c r="FZ36" t="e">
        <f>AND('Reptiles and Amphibians'!L9,"AAAAAH/+37U=")</f>
        <v>#VALUE!</v>
      </c>
      <c r="GA36" t="e">
        <f>AND('Reptiles and Amphibians'!M9,"AAAAAH/+37Y=")</f>
        <v>#VALUE!</v>
      </c>
      <c r="GB36" t="e">
        <f>AND('Reptiles and Amphibians'!N9,"AAAAAH/+37c=")</f>
        <v>#VALUE!</v>
      </c>
      <c r="GC36" t="e">
        <f>AND('Reptiles and Amphibians'!O9,"AAAAAH/+37g=")</f>
        <v>#VALUE!</v>
      </c>
      <c r="GD36" t="e">
        <f>AND('Reptiles and Amphibians'!P9,"AAAAAH/+37k=")</f>
        <v>#VALUE!</v>
      </c>
      <c r="GE36" t="e">
        <f>AND('Reptiles and Amphibians'!Q9,"AAAAAH/+37o=")</f>
        <v>#VALUE!</v>
      </c>
      <c r="GF36" t="e">
        <f>AND('Reptiles and Amphibians'!R9,"AAAAAH/+37s=")</f>
        <v>#VALUE!</v>
      </c>
      <c r="GG36" t="e">
        <f>AND('Reptiles and Amphibians'!S9,"AAAAAH/+37w=")</f>
        <v>#VALUE!</v>
      </c>
      <c r="GH36" t="e">
        <f>AND('Reptiles and Amphibians'!T9,"AAAAAH/+370=")</f>
        <v>#VALUE!</v>
      </c>
      <c r="GI36" t="e">
        <f>AND('Reptiles and Amphibians'!U9,"AAAAAH/+374=")</f>
        <v>#VALUE!</v>
      </c>
      <c r="GJ36" t="e">
        <f>AND('Reptiles and Amphibians'!V9,"AAAAAH/+378=")</f>
        <v>#VALUE!</v>
      </c>
      <c r="GK36" t="e">
        <f>AND('Reptiles and Amphibians'!W9,"AAAAAH/+38A=")</f>
        <v>#VALUE!</v>
      </c>
      <c r="GL36" t="e">
        <f>AND('Reptiles and Amphibians'!X9,"AAAAAH/+38E=")</f>
        <v>#VALUE!</v>
      </c>
      <c r="GM36" t="e">
        <f>AND('Reptiles and Amphibians'!Y9,"AAAAAH/+38I=")</f>
        <v>#VALUE!</v>
      </c>
      <c r="GN36" t="e">
        <f>AND('Reptiles and Amphibians'!Z9,"AAAAAH/+38M=")</f>
        <v>#VALUE!</v>
      </c>
      <c r="GO36" t="e">
        <f>AND('Reptiles and Amphibians'!AA9,"AAAAAH/+38Q=")</f>
        <v>#VALUE!</v>
      </c>
      <c r="GP36" t="e">
        <f>AND('Reptiles and Amphibians'!AB9,"AAAAAH/+38U=")</f>
        <v>#VALUE!</v>
      </c>
      <c r="GQ36" t="e">
        <f>AND('Reptiles and Amphibians'!AC9,"AAAAAH/+38Y=")</f>
        <v>#VALUE!</v>
      </c>
      <c r="GR36" t="e">
        <f>AND('Reptiles and Amphibians'!AD9,"AAAAAH/+38c=")</f>
        <v>#VALUE!</v>
      </c>
      <c r="GS36" t="e">
        <f>AND('Reptiles and Amphibians'!AE9,"AAAAAH/+38g=")</f>
        <v>#VALUE!</v>
      </c>
      <c r="GT36" t="e">
        <f>AND('Reptiles and Amphibians'!AF9,"AAAAAH/+38k=")</f>
        <v>#VALUE!</v>
      </c>
      <c r="GU36" t="e">
        <f>AND('Reptiles and Amphibians'!AG9,"AAAAAH/+38o=")</f>
        <v>#VALUE!</v>
      </c>
      <c r="GV36" t="e">
        <f>AND('Reptiles and Amphibians'!AH9,"AAAAAH/+38s=")</f>
        <v>#VALUE!</v>
      </c>
      <c r="GW36" t="e">
        <f>AND('Reptiles and Amphibians'!AI9,"AAAAAH/+38w=")</f>
        <v>#VALUE!</v>
      </c>
      <c r="GX36" t="e">
        <f>AND('Reptiles and Amphibians'!AJ9,"AAAAAH/+380=")</f>
        <v>#VALUE!</v>
      </c>
      <c r="GY36" t="e">
        <f>AND('Reptiles and Amphibians'!AK9,"AAAAAH/+384=")</f>
        <v>#VALUE!</v>
      </c>
      <c r="GZ36" t="e">
        <f>AND('Reptiles and Amphibians'!AL9,"AAAAAH/+388=")</f>
        <v>#VALUE!</v>
      </c>
      <c r="HA36" t="e">
        <f>AND('Reptiles and Amphibians'!AM9,"AAAAAH/+39A=")</f>
        <v>#VALUE!</v>
      </c>
      <c r="HB36" t="e">
        <f>AND('Reptiles and Amphibians'!AN9,"AAAAAH/+39E=")</f>
        <v>#VALUE!</v>
      </c>
      <c r="HC36" t="e">
        <f>AND('Reptiles and Amphibians'!AO9,"AAAAAH/+39I=")</f>
        <v>#VALUE!</v>
      </c>
      <c r="HD36">
        <f>IF('Reptiles and Amphibians'!10:10,"AAAAAH/+39M=",0)</f>
        <v>0</v>
      </c>
      <c r="HE36" t="e">
        <f>AND('Reptiles and Amphibians'!A10,"AAAAAH/+39Q=")</f>
        <v>#VALUE!</v>
      </c>
      <c r="HF36" t="e">
        <f>AND('Reptiles and Amphibians'!B10,"AAAAAH/+39U=")</f>
        <v>#VALUE!</v>
      </c>
      <c r="HG36" t="e">
        <f>AND('Reptiles and Amphibians'!C10,"AAAAAH/+39Y=")</f>
        <v>#VALUE!</v>
      </c>
      <c r="HH36" t="e">
        <f>AND('Reptiles and Amphibians'!D10,"AAAAAH/+39c=")</f>
        <v>#VALUE!</v>
      </c>
      <c r="HI36" t="e">
        <f>AND('Reptiles and Amphibians'!E10,"AAAAAH/+39g=")</f>
        <v>#VALUE!</v>
      </c>
      <c r="HJ36" t="e">
        <f>AND('Reptiles and Amphibians'!F10,"AAAAAH/+39k=")</f>
        <v>#VALUE!</v>
      </c>
      <c r="HK36" t="e">
        <f>AND('Reptiles and Amphibians'!G10,"AAAAAH/+39o=")</f>
        <v>#VALUE!</v>
      </c>
      <c r="HL36" t="e">
        <f>AND('Reptiles and Amphibians'!H10,"AAAAAH/+39s=")</f>
        <v>#VALUE!</v>
      </c>
      <c r="HM36" t="e">
        <f>AND('Reptiles and Amphibians'!I10,"AAAAAH/+39w=")</f>
        <v>#VALUE!</v>
      </c>
      <c r="HN36" t="e">
        <f>AND('Reptiles and Amphibians'!J10,"AAAAAH/+390=")</f>
        <v>#VALUE!</v>
      </c>
      <c r="HO36" t="e">
        <f>AND('Reptiles and Amphibians'!K10,"AAAAAH/+394=")</f>
        <v>#VALUE!</v>
      </c>
      <c r="HP36" t="e">
        <f>AND('Reptiles and Amphibians'!L10,"AAAAAH/+398=")</f>
        <v>#VALUE!</v>
      </c>
      <c r="HQ36" t="e">
        <f>AND('Reptiles and Amphibians'!M10,"AAAAAH/+3+A=")</f>
        <v>#VALUE!</v>
      </c>
      <c r="HR36" t="e">
        <f>AND('Reptiles and Amphibians'!N10,"AAAAAH/+3+E=")</f>
        <v>#VALUE!</v>
      </c>
      <c r="HS36" t="e">
        <f>AND('Reptiles and Amphibians'!O10,"AAAAAH/+3+I=")</f>
        <v>#VALUE!</v>
      </c>
      <c r="HT36" t="e">
        <f>AND('Reptiles and Amphibians'!P10,"AAAAAH/+3+M=")</f>
        <v>#VALUE!</v>
      </c>
      <c r="HU36" t="e">
        <f>AND('Reptiles and Amphibians'!Q10,"AAAAAH/+3+Q=")</f>
        <v>#VALUE!</v>
      </c>
      <c r="HV36" t="e">
        <f>AND('Reptiles and Amphibians'!R10,"AAAAAH/+3+U=")</f>
        <v>#VALUE!</v>
      </c>
      <c r="HW36" t="e">
        <f>AND('Reptiles and Amphibians'!S10,"AAAAAH/+3+Y=")</f>
        <v>#VALUE!</v>
      </c>
      <c r="HX36" t="e">
        <f>AND('Reptiles and Amphibians'!T10,"AAAAAH/+3+c=")</f>
        <v>#VALUE!</v>
      </c>
      <c r="HY36" t="e">
        <f>AND('Reptiles and Amphibians'!U10,"AAAAAH/+3+g=")</f>
        <v>#VALUE!</v>
      </c>
      <c r="HZ36" t="e">
        <f>AND('Reptiles and Amphibians'!V10,"AAAAAH/+3+k=")</f>
        <v>#VALUE!</v>
      </c>
      <c r="IA36" t="e">
        <f>AND('Reptiles and Amphibians'!W10,"AAAAAH/+3+o=")</f>
        <v>#VALUE!</v>
      </c>
      <c r="IB36" t="e">
        <f>AND('Reptiles and Amphibians'!X10,"AAAAAH/+3+s=")</f>
        <v>#VALUE!</v>
      </c>
      <c r="IC36" t="e">
        <f>AND('Reptiles and Amphibians'!Y10,"AAAAAH/+3+w=")</f>
        <v>#VALUE!</v>
      </c>
      <c r="ID36" t="e">
        <f>AND('Reptiles and Amphibians'!Z10,"AAAAAH/+3+0=")</f>
        <v>#VALUE!</v>
      </c>
      <c r="IE36" t="e">
        <f>AND('Reptiles and Amphibians'!AA10,"AAAAAH/+3+4=")</f>
        <v>#VALUE!</v>
      </c>
      <c r="IF36" t="e">
        <f>AND('Reptiles and Amphibians'!AB10,"AAAAAH/+3+8=")</f>
        <v>#VALUE!</v>
      </c>
      <c r="IG36" t="e">
        <f>AND('Reptiles and Amphibians'!AC10,"AAAAAH/+3/A=")</f>
        <v>#VALUE!</v>
      </c>
      <c r="IH36" t="e">
        <f>AND('Reptiles and Amphibians'!AD10,"AAAAAH/+3/E=")</f>
        <v>#VALUE!</v>
      </c>
      <c r="II36" t="e">
        <f>AND('Reptiles and Amphibians'!AE10,"AAAAAH/+3/I=")</f>
        <v>#VALUE!</v>
      </c>
      <c r="IJ36" t="e">
        <f>AND('Reptiles and Amphibians'!AF10,"AAAAAH/+3/M=")</f>
        <v>#VALUE!</v>
      </c>
      <c r="IK36" t="e">
        <f>AND('Reptiles and Amphibians'!AG10,"AAAAAH/+3/Q=")</f>
        <v>#VALUE!</v>
      </c>
      <c r="IL36" t="e">
        <f>AND('Reptiles and Amphibians'!AH10,"AAAAAH/+3/U=")</f>
        <v>#VALUE!</v>
      </c>
      <c r="IM36" t="e">
        <f>AND('Reptiles and Amphibians'!AI10,"AAAAAH/+3/Y=")</f>
        <v>#VALUE!</v>
      </c>
      <c r="IN36" t="e">
        <f>AND('Reptiles and Amphibians'!AJ10,"AAAAAH/+3/c=")</f>
        <v>#VALUE!</v>
      </c>
      <c r="IO36" t="e">
        <f>AND('Reptiles and Amphibians'!AK10,"AAAAAH/+3/g=")</f>
        <v>#VALUE!</v>
      </c>
      <c r="IP36" t="e">
        <f>AND('Reptiles and Amphibians'!AL10,"AAAAAH/+3/k=")</f>
        <v>#VALUE!</v>
      </c>
      <c r="IQ36" t="e">
        <f>AND('Reptiles and Amphibians'!AM10,"AAAAAH/+3/o=")</f>
        <v>#VALUE!</v>
      </c>
      <c r="IR36" t="e">
        <f>AND('Reptiles and Amphibians'!AN10,"AAAAAH/+3/s=")</f>
        <v>#VALUE!</v>
      </c>
      <c r="IS36" t="e">
        <f>AND('Reptiles and Amphibians'!AO10,"AAAAAH/+3/w=")</f>
        <v>#VALUE!</v>
      </c>
      <c r="IT36">
        <f>IF('Reptiles and Amphibians'!11:11,"AAAAAH/+3/0=",0)</f>
        <v>0</v>
      </c>
      <c r="IU36" t="e">
        <f>AND('Reptiles and Amphibians'!A11,"AAAAAH/+3/4=")</f>
        <v>#VALUE!</v>
      </c>
      <c r="IV36" t="e">
        <f>AND('Reptiles and Amphibians'!B11,"AAAAAH/+3/8=")</f>
        <v>#VALUE!</v>
      </c>
    </row>
    <row r="37" spans="1:256">
      <c r="A37" t="e">
        <f>AND('Reptiles and Amphibians'!C11,"AAAAAFerPAA=")</f>
        <v>#VALUE!</v>
      </c>
      <c r="B37" t="e">
        <f>AND('Reptiles and Amphibians'!D11,"AAAAAFerPAE=")</f>
        <v>#VALUE!</v>
      </c>
      <c r="C37" t="e">
        <f>AND('Reptiles and Amphibians'!E11,"AAAAAFerPAI=")</f>
        <v>#VALUE!</v>
      </c>
      <c r="D37" t="e">
        <f>AND('Reptiles and Amphibians'!F11,"AAAAAFerPAM=")</f>
        <v>#VALUE!</v>
      </c>
      <c r="E37" t="e">
        <f>AND('Reptiles and Amphibians'!G11,"AAAAAFerPAQ=")</f>
        <v>#VALUE!</v>
      </c>
      <c r="F37" t="e">
        <f>AND('Reptiles and Amphibians'!H11,"AAAAAFerPAU=")</f>
        <v>#VALUE!</v>
      </c>
      <c r="G37" t="e">
        <f>AND('Reptiles and Amphibians'!I11,"AAAAAFerPAY=")</f>
        <v>#VALUE!</v>
      </c>
      <c r="H37" t="e">
        <f>AND('Reptiles and Amphibians'!J11,"AAAAAFerPAc=")</f>
        <v>#VALUE!</v>
      </c>
      <c r="I37" t="e">
        <f>AND('Reptiles and Amphibians'!K11,"AAAAAFerPAg=")</f>
        <v>#VALUE!</v>
      </c>
      <c r="J37" t="e">
        <f>AND('Reptiles and Amphibians'!L11,"AAAAAFerPAk=")</f>
        <v>#VALUE!</v>
      </c>
      <c r="K37" t="e">
        <f>AND('Reptiles and Amphibians'!M11,"AAAAAFerPAo=")</f>
        <v>#VALUE!</v>
      </c>
      <c r="L37" t="e">
        <f>AND('Reptiles and Amphibians'!N11,"AAAAAFerPAs=")</f>
        <v>#VALUE!</v>
      </c>
      <c r="M37" t="e">
        <f>AND('Reptiles and Amphibians'!O11,"AAAAAFerPAw=")</f>
        <v>#VALUE!</v>
      </c>
      <c r="N37" t="e">
        <f>AND('Reptiles and Amphibians'!P11,"AAAAAFerPA0=")</f>
        <v>#VALUE!</v>
      </c>
      <c r="O37" t="e">
        <f>AND('Reptiles and Amphibians'!Q11,"AAAAAFerPA4=")</f>
        <v>#VALUE!</v>
      </c>
      <c r="P37" t="e">
        <f>AND('Reptiles and Amphibians'!R11,"AAAAAFerPA8=")</f>
        <v>#VALUE!</v>
      </c>
      <c r="Q37" t="e">
        <f>AND('Reptiles and Amphibians'!S11,"AAAAAFerPBA=")</f>
        <v>#VALUE!</v>
      </c>
      <c r="R37" t="e">
        <f>AND('Reptiles and Amphibians'!T11,"AAAAAFerPBE=")</f>
        <v>#VALUE!</v>
      </c>
      <c r="S37" t="e">
        <f>AND('Reptiles and Amphibians'!U11,"AAAAAFerPBI=")</f>
        <v>#VALUE!</v>
      </c>
      <c r="T37" t="e">
        <f>AND('Reptiles and Amphibians'!V11,"AAAAAFerPBM=")</f>
        <v>#VALUE!</v>
      </c>
      <c r="U37" t="e">
        <f>AND('Reptiles and Amphibians'!W11,"AAAAAFerPBQ=")</f>
        <v>#VALUE!</v>
      </c>
      <c r="V37" t="e">
        <f>AND('Reptiles and Amphibians'!X11,"AAAAAFerPBU=")</f>
        <v>#VALUE!</v>
      </c>
      <c r="W37" t="e">
        <f>AND('Reptiles and Amphibians'!Y11,"AAAAAFerPBY=")</f>
        <v>#VALUE!</v>
      </c>
      <c r="X37" t="e">
        <f>AND('Reptiles and Amphibians'!Z11,"AAAAAFerPBc=")</f>
        <v>#VALUE!</v>
      </c>
      <c r="Y37" t="e">
        <f>AND('Reptiles and Amphibians'!AA11,"AAAAAFerPBg=")</f>
        <v>#VALUE!</v>
      </c>
      <c r="Z37" t="e">
        <f>AND('Reptiles and Amphibians'!AB11,"AAAAAFerPBk=")</f>
        <v>#VALUE!</v>
      </c>
      <c r="AA37" t="e">
        <f>AND('Reptiles and Amphibians'!AC11,"AAAAAFerPBo=")</f>
        <v>#VALUE!</v>
      </c>
      <c r="AB37" t="e">
        <f>AND('Reptiles and Amphibians'!AD11,"AAAAAFerPBs=")</f>
        <v>#VALUE!</v>
      </c>
      <c r="AC37" t="e">
        <f>AND('Reptiles and Amphibians'!AE11,"AAAAAFerPBw=")</f>
        <v>#VALUE!</v>
      </c>
      <c r="AD37" t="e">
        <f>AND('Reptiles and Amphibians'!AF11,"AAAAAFerPB0=")</f>
        <v>#VALUE!</v>
      </c>
      <c r="AE37" t="e">
        <f>AND('Reptiles and Amphibians'!AG11,"AAAAAFerPB4=")</f>
        <v>#VALUE!</v>
      </c>
      <c r="AF37" t="e">
        <f>AND('Reptiles and Amphibians'!AH11,"AAAAAFerPB8=")</f>
        <v>#VALUE!</v>
      </c>
      <c r="AG37" t="e">
        <f>AND('Reptiles and Amphibians'!AI11,"AAAAAFerPCA=")</f>
        <v>#VALUE!</v>
      </c>
      <c r="AH37" t="e">
        <f>AND('Reptiles and Amphibians'!AJ11,"AAAAAFerPCE=")</f>
        <v>#VALUE!</v>
      </c>
      <c r="AI37" t="e">
        <f>AND('Reptiles and Amphibians'!AK11,"AAAAAFerPCI=")</f>
        <v>#VALUE!</v>
      </c>
      <c r="AJ37" t="e">
        <f>AND('Reptiles and Amphibians'!AL11,"AAAAAFerPCM=")</f>
        <v>#VALUE!</v>
      </c>
      <c r="AK37" t="e">
        <f>AND('Reptiles and Amphibians'!AM11,"AAAAAFerPCQ=")</f>
        <v>#VALUE!</v>
      </c>
      <c r="AL37" t="e">
        <f>AND('Reptiles and Amphibians'!AN11,"AAAAAFerPCU=")</f>
        <v>#VALUE!</v>
      </c>
      <c r="AM37" t="e">
        <f>AND('Reptiles and Amphibians'!AO11,"AAAAAFerPCY=")</f>
        <v>#VALUE!</v>
      </c>
      <c r="AN37">
        <f>IF('Reptiles and Amphibians'!12:12,"AAAAAFerPCc=",0)</f>
        <v>0</v>
      </c>
      <c r="AO37" t="e">
        <f>AND('Reptiles and Amphibians'!A12,"AAAAAFerPCg=")</f>
        <v>#VALUE!</v>
      </c>
      <c r="AP37" t="e">
        <f>AND('Reptiles and Amphibians'!B12,"AAAAAFerPCk=")</f>
        <v>#VALUE!</v>
      </c>
      <c r="AQ37" t="e">
        <f>AND('Reptiles and Amphibians'!C12,"AAAAAFerPCo=")</f>
        <v>#VALUE!</v>
      </c>
      <c r="AR37" t="e">
        <f>AND('Reptiles and Amphibians'!D12,"AAAAAFerPCs=")</f>
        <v>#VALUE!</v>
      </c>
      <c r="AS37" t="e">
        <f>AND('Reptiles and Amphibians'!E12,"AAAAAFerPCw=")</f>
        <v>#VALUE!</v>
      </c>
      <c r="AT37" t="e">
        <f>AND('Reptiles and Amphibians'!F12,"AAAAAFerPC0=")</f>
        <v>#VALUE!</v>
      </c>
      <c r="AU37" t="e">
        <f>AND('Reptiles and Amphibians'!G12,"AAAAAFerPC4=")</f>
        <v>#VALUE!</v>
      </c>
      <c r="AV37" t="e">
        <f>AND('Reptiles and Amphibians'!H12,"AAAAAFerPC8=")</f>
        <v>#VALUE!</v>
      </c>
      <c r="AW37" t="e">
        <f>AND('Reptiles and Amphibians'!I12,"AAAAAFerPDA=")</f>
        <v>#VALUE!</v>
      </c>
      <c r="AX37" t="e">
        <f>AND('Reptiles and Amphibians'!J12,"AAAAAFerPDE=")</f>
        <v>#VALUE!</v>
      </c>
      <c r="AY37" t="e">
        <f>AND('Reptiles and Amphibians'!K12,"AAAAAFerPDI=")</f>
        <v>#VALUE!</v>
      </c>
      <c r="AZ37" t="e">
        <f>AND('Reptiles and Amphibians'!L12,"AAAAAFerPDM=")</f>
        <v>#VALUE!</v>
      </c>
      <c r="BA37" t="e">
        <f>AND('Reptiles and Amphibians'!M12,"AAAAAFerPDQ=")</f>
        <v>#VALUE!</v>
      </c>
      <c r="BB37" t="e">
        <f>AND('Reptiles and Amphibians'!N12,"AAAAAFerPDU=")</f>
        <v>#VALUE!</v>
      </c>
      <c r="BC37" t="e">
        <f>AND('Reptiles and Amphibians'!O12,"AAAAAFerPDY=")</f>
        <v>#VALUE!</v>
      </c>
      <c r="BD37" t="e">
        <f>AND('Reptiles and Amphibians'!P12,"AAAAAFerPDc=")</f>
        <v>#VALUE!</v>
      </c>
      <c r="BE37" t="e">
        <f>AND('Reptiles and Amphibians'!Q12,"AAAAAFerPDg=")</f>
        <v>#VALUE!</v>
      </c>
      <c r="BF37" t="e">
        <f>AND('Reptiles and Amphibians'!R12,"AAAAAFerPDk=")</f>
        <v>#VALUE!</v>
      </c>
      <c r="BG37" t="e">
        <f>AND('Reptiles and Amphibians'!S12,"AAAAAFerPDo=")</f>
        <v>#VALUE!</v>
      </c>
      <c r="BH37" t="e">
        <f>AND('Reptiles and Amphibians'!T12,"AAAAAFerPDs=")</f>
        <v>#VALUE!</v>
      </c>
      <c r="BI37" t="e">
        <f>AND('Reptiles and Amphibians'!U12,"AAAAAFerPDw=")</f>
        <v>#VALUE!</v>
      </c>
      <c r="BJ37" t="e">
        <f>AND('Reptiles and Amphibians'!V12,"AAAAAFerPD0=")</f>
        <v>#VALUE!</v>
      </c>
      <c r="BK37" t="e">
        <f>AND('Reptiles and Amphibians'!W12,"AAAAAFerPD4=")</f>
        <v>#VALUE!</v>
      </c>
      <c r="BL37" t="e">
        <f>AND('Reptiles and Amphibians'!X12,"AAAAAFerPD8=")</f>
        <v>#VALUE!</v>
      </c>
      <c r="BM37" t="e">
        <f>AND('Reptiles and Amphibians'!Y12,"AAAAAFerPEA=")</f>
        <v>#VALUE!</v>
      </c>
      <c r="BN37" t="e">
        <f>AND('Reptiles and Amphibians'!Z12,"AAAAAFerPEE=")</f>
        <v>#VALUE!</v>
      </c>
      <c r="BO37" t="e">
        <f>AND('Reptiles and Amphibians'!AA12,"AAAAAFerPEI=")</f>
        <v>#VALUE!</v>
      </c>
      <c r="BP37" t="e">
        <f>AND('Reptiles and Amphibians'!AB12,"AAAAAFerPEM=")</f>
        <v>#VALUE!</v>
      </c>
      <c r="BQ37" t="e">
        <f>AND('Reptiles and Amphibians'!AC12,"AAAAAFerPEQ=")</f>
        <v>#VALUE!</v>
      </c>
      <c r="BR37" t="e">
        <f>AND('Reptiles and Amphibians'!AD12,"AAAAAFerPEU=")</f>
        <v>#VALUE!</v>
      </c>
      <c r="BS37" t="e">
        <f>AND('Reptiles and Amphibians'!AE12,"AAAAAFerPEY=")</f>
        <v>#VALUE!</v>
      </c>
      <c r="BT37" t="e">
        <f>AND('Reptiles and Amphibians'!AF12,"AAAAAFerPEc=")</f>
        <v>#VALUE!</v>
      </c>
      <c r="BU37" t="e">
        <f>AND('Reptiles and Amphibians'!AG12,"AAAAAFerPEg=")</f>
        <v>#VALUE!</v>
      </c>
      <c r="BV37" t="e">
        <f>AND('Reptiles and Amphibians'!AH12,"AAAAAFerPEk=")</f>
        <v>#VALUE!</v>
      </c>
      <c r="BW37" t="e">
        <f>AND('Reptiles and Amphibians'!AI12,"AAAAAFerPEo=")</f>
        <v>#VALUE!</v>
      </c>
      <c r="BX37" t="e">
        <f>AND('Reptiles and Amphibians'!AJ12,"AAAAAFerPEs=")</f>
        <v>#VALUE!</v>
      </c>
      <c r="BY37" t="e">
        <f>AND('Reptiles and Amphibians'!AK12,"AAAAAFerPEw=")</f>
        <v>#VALUE!</v>
      </c>
      <c r="BZ37" t="e">
        <f>AND('Reptiles and Amphibians'!AL12,"AAAAAFerPE0=")</f>
        <v>#VALUE!</v>
      </c>
      <c r="CA37" t="e">
        <f>AND('Reptiles and Amphibians'!AM12,"AAAAAFerPE4=")</f>
        <v>#VALUE!</v>
      </c>
      <c r="CB37" t="e">
        <f>AND('Reptiles and Amphibians'!AN12,"AAAAAFerPE8=")</f>
        <v>#VALUE!</v>
      </c>
      <c r="CC37" t="e">
        <f>AND('Reptiles and Amphibians'!AO12,"AAAAAFerPFA=")</f>
        <v>#VALUE!</v>
      </c>
      <c r="CD37">
        <f>IF('Reptiles and Amphibians'!13:13,"AAAAAFerPFE=",0)</f>
        <v>0</v>
      </c>
      <c r="CE37" t="e">
        <f>AND('Reptiles and Amphibians'!A13,"AAAAAFerPFI=")</f>
        <v>#VALUE!</v>
      </c>
      <c r="CF37" t="e">
        <f>AND('Reptiles and Amphibians'!B13,"AAAAAFerPFM=")</f>
        <v>#VALUE!</v>
      </c>
      <c r="CG37" t="e">
        <f>AND('Reptiles and Amphibians'!C13,"AAAAAFerPFQ=")</f>
        <v>#VALUE!</v>
      </c>
      <c r="CH37" t="e">
        <f>AND('Reptiles and Amphibians'!D13,"AAAAAFerPFU=")</f>
        <v>#VALUE!</v>
      </c>
      <c r="CI37" t="e">
        <f>AND('Reptiles and Amphibians'!E13,"AAAAAFerPFY=")</f>
        <v>#VALUE!</v>
      </c>
      <c r="CJ37" t="e">
        <f>AND('Reptiles and Amphibians'!F13,"AAAAAFerPFc=")</f>
        <v>#VALUE!</v>
      </c>
      <c r="CK37" t="e">
        <f>AND('Reptiles and Amphibians'!G13,"AAAAAFerPFg=")</f>
        <v>#VALUE!</v>
      </c>
      <c r="CL37" t="e">
        <f>AND('Reptiles and Amphibians'!H13,"AAAAAFerPFk=")</f>
        <v>#VALUE!</v>
      </c>
      <c r="CM37" t="e">
        <f>AND('Reptiles and Amphibians'!I13,"AAAAAFerPFo=")</f>
        <v>#VALUE!</v>
      </c>
      <c r="CN37" t="e">
        <f>AND('Reptiles and Amphibians'!J13,"AAAAAFerPFs=")</f>
        <v>#VALUE!</v>
      </c>
      <c r="CO37" t="e">
        <f>AND('Reptiles and Amphibians'!K13,"AAAAAFerPFw=")</f>
        <v>#VALUE!</v>
      </c>
      <c r="CP37" t="e">
        <f>AND('Reptiles and Amphibians'!L13,"AAAAAFerPF0=")</f>
        <v>#VALUE!</v>
      </c>
      <c r="CQ37" t="e">
        <f>AND('Reptiles and Amphibians'!M13,"AAAAAFerPF4=")</f>
        <v>#VALUE!</v>
      </c>
      <c r="CR37" t="e">
        <f>AND('Reptiles and Amphibians'!N13,"AAAAAFerPF8=")</f>
        <v>#VALUE!</v>
      </c>
      <c r="CS37" t="e">
        <f>AND('Reptiles and Amphibians'!O13,"AAAAAFerPGA=")</f>
        <v>#VALUE!</v>
      </c>
      <c r="CT37" t="e">
        <f>AND('Reptiles and Amphibians'!P13,"AAAAAFerPGE=")</f>
        <v>#VALUE!</v>
      </c>
      <c r="CU37" t="e">
        <f>AND('Reptiles and Amphibians'!Q13,"AAAAAFerPGI=")</f>
        <v>#VALUE!</v>
      </c>
      <c r="CV37" t="e">
        <f>AND('Reptiles and Amphibians'!R13,"AAAAAFerPGM=")</f>
        <v>#VALUE!</v>
      </c>
      <c r="CW37" t="e">
        <f>AND('Reptiles and Amphibians'!S13,"AAAAAFerPGQ=")</f>
        <v>#VALUE!</v>
      </c>
      <c r="CX37" t="e">
        <f>AND('Reptiles and Amphibians'!T13,"AAAAAFerPGU=")</f>
        <v>#VALUE!</v>
      </c>
      <c r="CY37" t="e">
        <f>AND('Reptiles and Amphibians'!U13,"AAAAAFerPGY=")</f>
        <v>#VALUE!</v>
      </c>
      <c r="CZ37" t="e">
        <f>AND('Reptiles and Amphibians'!V13,"AAAAAFerPGc=")</f>
        <v>#VALUE!</v>
      </c>
      <c r="DA37" t="e">
        <f>AND('Reptiles and Amphibians'!W13,"AAAAAFerPGg=")</f>
        <v>#VALUE!</v>
      </c>
      <c r="DB37" t="e">
        <f>AND('Reptiles and Amphibians'!X13,"AAAAAFerPGk=")</f>
        <v>#VALUE!</v>
      </c>
      <c r="DC37" t="e">
        <f>AND('Reptiles and Amphibians'!Y13,"AAAAAFerPGo=")</f>
        <v>#VALUE!</v>
      </c>
      <c r="DD37" t="e">
        <f>AND('Reptiles and Amphibians'!Z13,"AAAAAFerPGs=")</f>
        <v>#VALUE!</v>
      </c>
      <c r="DE37" t="e">
        <f>AND('Reptiles and Amphibians'!AA13,"AAAAAFerPGw=")</f>
        <v>#VALUE!</v>
      </c>
      <c r="DF37" t="e">
        <f>AND('Reptiles and Amphibians'!AB13,"AAAAAFerPG0=")</f>
        <v>#VALUE!</v>
      </c>
      <c r="DG37" t="e">
        <f>AND('Reptiles and Amphibians'!AC13,"AAAAAFerPG4=")</f>
        <v>#VALUE!</v>
      </c>
      <c r="DH37" t="e">
        <f>AND('Reptiles and Amphibians'!AD13,"AAAAAFerPG8=")</f>
        <v>#VALUE!</v>
      </c>
      <c r="DI37" t="e">
        <f>AND('Reptiles and Amphibians'!AE13,"AAAAAFerPHA=")</f>
        <v>#VALUE!</v>
      </c>
      <c r="DJ37" t="e">
        <f>AND('Reptiles and Amphibians'!AF13,"AAAAAFerPHE=")</f>
        <v>#VALUE!</v>
      </c>
      <c r="DK37" t="e">
        <f>AND('Reptiles and Amphibians'!AG13,"AAAAAFerPHI=")</f>
        <v>#VALUE!</v>
      </c>
      <c r="DL37" t="e">
        <f>AND('Reptiles and Amphibians'!AH13,"AAAAAFerPHM=")</f>
        <v>#VALUE!</v>
      </c>
      <c r="DM37" t="e">
        <f>AND('Reptiles and Amphibians'!AI13,"AAAAAFerPHQ=")</f>
        <v>#VALUE!</v>
      </c>
      <c r="DN37" t="e">
        <f>AND('Reptiles and Amphibians'!AJ13,"AAAAAFerPHU=")</f>
        <v>#VALUE!</v>
      </c>
      <c r="DO37" t="e">
        <f>AND('Reptiles and Amphibians'!AK13,"AAAAAFerPHY=")</f>
        <v>#VALUE!</v>
      </c>
      <c r="DP37" t="e">
        <f>AND('Reptiles and Amphibians'!AL13,"AAAAAFerPHc=")</f>
        <v>#VALUE!</v>
      </c>
      <c r="DQ37" t="e">
        <f>AND('Reptiles and Amphibians'!AM13,"AAAAAFerPHg=")</f>
        <v>#VALUE!</v>
      </c>
      <c r="DR37" t="e">
        <f>AND('Reptiles and Amphibians'!AN13,"AAAAAFerPHk=")</f>
        <v>#VALUE!</v>
      </c>
      <c r="DS37" t="e">
        <f>AND('Reptiles and Amphibians'!AO13,"AAAAAFerPHo=")</f>
        <v>#VALUE!</v>
      </c>
      <c r="DT37">
        <f>IF('Reptiles and Amphibians'!14:14,"AAAAAFerPHs=",0)</f>
        <v>0</v>
      </c>
      <c r="DU37">
        <f>IF('Reptiles and Amphibians'!15:15,"AAAAAFerPHw=",0)</f>
        <v>0</v>
      </c>
      <c r="DV37">
        <f>IF('Reptiles and Amphibians'!16:16,"AAAAAFerPH0=",0)</f>
        <v>0</v>
      </c>
      <c r="DW37">
        <f>IF('Reptiles and Amphibians'!A:A,"AAAAAFerPH4=",0)</f>
        <v>0</v>
      </c>
      <c r="DX37">
        <f>IF('Reptiles and Amphibians'!B:B,"AAAAAFerPH8=",0)</f>
        <v>0</v>
      </c>
      <c r="DY37">
        <f>IF('Reptiles and Amphibians'!C:C,"AAAAAFerPIA=",0)</f>
        <v>0</v>
      </c>
      <c r="DZ37">
        <f>IF('Reptiles and Amphibians'!D:D,"AAAAAFerPIE=",0)</f>
        <v>0</v>
      </c>
      <c r="EA37">
        <f>IF('Reptiles and Amphibians'!E:E,"AAAAAFerPII=",0)</f>
        <v>0</v>
      </c>
      <c r="EB37">
        <f>IF('Reptiles and Amphibians'!F:F,"AAAAAFerPIM=",0)</f>
        <v>0</v>
      </c>
      <c r="EC37">
        <f>IF('Reptiles and Amphibians'!G:G,"AAAAAFerPIQ=",0)</f>
        <v>0</v>
      </c>
      <c r="ED37">
        <f>IF('Reptiles and Amphibians'!H:H,"AAAAAFerPIU=",0)</f>
        <v>0</v>
      </c>
      <c r="EE37">
        <f>IF('Reptiles and Amphibians'!I:I,"AAAAAFerPIY=",0)</f>
        <v>0</v>
      </c>
      <c r="EF37">
        <f>IF('Reptiles and Amphibians'!J:J,"AAAAAFerPIc=",0)</f>
        <v>0</v>
      </c>
      <c r="EG37">
        <f>IF('Reptiles and Amphibians'!K:K,"AAAAAFerPIg=",0)</f>
        <v>0</v>
      </c>
      <c r="EH37">
        <f>IF('Reptiles and Amphibians'!L:L,"AAAAAFerPIk=",0)</f>
        <v>0</v>
      </c>
      <c r="EI37">
        <f>IF('Reptiles and Amphibians'!M:M,"AAAAAFerPIo=",0)</f>
        <v>0</v>
      </c>
      <c r="EJ37">
        <f>IF('Reptiles and Amphibians'!N:N,"AAAAAFerPIs=",0)</f>
        <v>0</v>
      </c>
      <c r="EK37">
        <f>IF('Reptiles and Amphibians'!O:O,"AAAAAFerPIw=",0)</f>
        <v>0</v>
      </c>
      <c r="EL37">
        <f>IF('Reptiles and Amphibians'!P:P,"AAAAAFerPI0=",0)</f>
        <v>0</v>
      </c>
      <c r="EM37">
        <f>IF('Reptiles and Amphibians'!Q:Q,"AAAAAFerPI4=",0)</f>
        <v>0</v>
      </c>
      <c r="EN37">
        <f>IF('Reptiles and Amphibians'!R:R,"AAAAAFerPI8=",0)</f>
        <v>0</v>
      </c>
      <c r="EO37">
        <f>IF('Reptiles and Amphibians'!S:S,"AAAAAFerPJA=",0)</f>
        <v>0</v>
      </c>
      <c r="EP37">
        <f>IF('Reptiles and Amphibians'!T:T,"AAAAAFerPJE=",0)</f>
        <v>0</v>
      </c>
      <c r="EQ37">
        <f>IF('Reptiles and Amphibians'!U:U,"AAAAAFerPJI=",0)</f>
        <v>0</v>
      </c>
      <c r="ER37">
        <f>IF('Reptiles and Amphibians'!V:V,"AAAAAFerPJM=",0)</f>
        <v>0</v>
      </c>
      <c r="ES37">
        <f>IF('Reptiles and Amphibians'!W:W,"AAAAAFerPJQ=",0)</f>
        <v>0</v>
      </c>
      <c r="ET37">
        <f>IF('Reptiles and Amphibians'!X:X,"AAAAAFerPJU=",0)</f>
        <v>0</v>
      </c>
      <c r="EU37">
        <f>IF('Reptiles and Amphibians'!Y:Y,"AAAAAFerPJY=",0)</f>
        <v>0</v>
      </c>
      <c r="EV37">
        <f>IF('Reptiles and Amphibians'!Z:Z,"AAAAAFerPJc=",0)</f>
        <v>0</v>
      </c>
      <c r="EW37">
        <f>IF('Reptiles and Amphibians'!AA:AA,"AAAAAFerPJg=",0)</f>
        <v>0</v>
      </c>
      <c r="EX37">
        <f>IF('Reptiles and Amphibians'!AB:AB,"AAAAAFerPJk=",0)</f>
        <v>0</v>
      </c>
      <c r="EY37">
        <f>IF('Reptiles and Amphibians'!AC:AC,"AAAAAFerPJo=",0)</f>
        <v>0</v>
      </c>
      <c r="EZ37">
        <f>IF('Reptiles and Amphibians'!AD:AD,"AAAAAFerPJs=",0)</f>
        <v>0</v>
      </c>
      <c r="FA37">
        <f>IF('Reptiles and Amphibians'!AE:AE,"AAAAAFerPJw=",0)</f>
        <v>0</v>
      </c>
      <c r="FB37">
        <f>IF('Reptiles and Amphibians'!AF:AF,"AAAAAFerPJ0=",0)</f>
        <v>0</v>
      </c>
      <c r="FC37">
        <f>IF('Reptiles and Amphibians'!AG:AG,"AAAAAFerPJ4=",0)</f>
        <v>0</v>
      </c>
      <c r="FD37">
        <f>IF('Reptiles and Amphibians'!AH:AH,"AAAAAFerPJ8=",0)</f>
        <v>0</v>
      </c>
      <c r="FE37">
        <f>IF('Reptiles and Amphibians'!AI:AI,"AAAAAFerPKA=",0)</f>
        <v>0</v>
      </c>
      <c r="FF37">
        <f>IF('Reptiles and Amphibians'!AJ:AJ,"AAAAAFerPKE=",0)</f>
        <v>0</v>
      </c>
      <c r="FG37">
        <f>IF('Reptiles and Amphibians'!AK:AK,"AAAAAFerPKI=",0)</f>
        <v>0</v>
      </c>
      <c r="FH37">
        <f>IF('Reptiles and Amphibians'!AL:AL,"AAAAAFerPKM=",0)</f>
        <v>0</v>
      </c>
      <c r="FI37">
        <f>IF('Reptiles and Amphibians'!AM:AM,"AAAAAFerPKQ=",0)</f>
        <v>0</v>
      </c>
      <c r="FJ37">
        <f>IF('Reptiles and Amphibians'!AN:AN,"AAAAAFerPKU=",0)</f>
        <v>0</v>
      </c>
      <c r="FK37">
        <f>IF('Reptiles and Amphibians'!AO:AO,"AAAAAFerPKY=",0)</f>
        <v>0</v>
      </c>
      <c r="FL37">
        <f>IF(Birds!1:1,"AAAAAFerPKc=",0)</f>
        <v>0</v>
      </c>
      <c r="FM37" t="e">
        <f>AND(Birds!A1,"AAAAAFerPKg=")</f>
        <v>#VALUE!</v>
      </c>
      <c r="FN37" t="e">
        <f>AND(Birds!B1,"AAAAAFerPKk=")</f>
        <v>#VALUE!</v>
      </c>
      <c r="FO37" t="e">
        <f>AND(Birds!C1,"AAAAAFerPKo=")</f>
        <v>#VALUE!</v>
      </c>
      <c r="FP37" t="e">
        <f>AND(Birds!D1,"AAAAAFerPKs=")</f>
        <v>#VALUE!</v>
      </c>
      <c r="FQ37" t="e">
        <f>AND(Birds!E1,"AAAAAFerPKw=")</f>
        <v>#VALUE!</v>
      </c>
      <c r="FR37" t="e">
        <f>AND(Birds!F1,"AAAAAFerPK0=")</f>
        <v>#VALUE!</v>
      </c>
      <c r="FS37" t="e">
        <f>AND(Birds!G1,"AAAAAFerPK4=")</f>
        <v>#VALUE!</v>
      </c>
      <c r="FT37" t="e">
        <f>AND(Birds!H1,"AAAAAFerPK8=")</f>
        <v>#VALUE!</v>
      </c>
      <c r="FU37" t="e">
        <f>AND(Birds!I1,"AAAAAFerPLA=")</f>
        <v>#VALUE!</v>
      </c>
      <c r="FV37" t="e">
        <f>AND(Birds!J1,"AAAAAFerPLE=")</f>
        <v>#VALUE!</v>
      </c>
      <c r="FW37" t="e">
        <f>AND(Birds!K1,"AAAAAFerPLI=")</f>
        <v>#VALUE!</v>
      </c>
      <c r="FX37" t="e">
        <f>AND(Birds!L1,"AAAAAFerPLM=")</f>
        <v>#VALUE!</v>
      </c>
      <c r="FY37" t="e">
        <f>AND(Birds!M1,"AAAAAFerPLQ=")</f>
        <v>#VALUE!</v>
      </c>
      <c r="FZ37" t="e">
        <f>AND(Birds!N1,"AAAAAFerPLU=")</f>
        <v>#VALUE!</v>
      </c>
      <c r="GA37" t="e">
        <f>AND(Birds!O1,"AAAAAFerPLY=")</f>
        <v>#VALUE!</v>
      </c>
      <c r="GB37" t="e">
        <f>AND(Birds!P1,"AAAAAFerPLc=")</f>
        <v>#VALUE!</v>
      </c>
      <c r="GC37" t="e">
        <f>AND(Birds!Q1,"AAAAAFerPLg=")</f>
        <v>#VALUE!</v>
      </c>
      <c r="GD37" t="e">
        <f>AND(Birds!R1,"AAAAAFerPLk=")</f>
        <v>#VALUE!</v>
      </c>
      <c r="GE37" t="e">
        <f>AND(Birds!S1,"AAAAAFerPLo=")</f>
        <v>#VALUE!</v>
      </c>
      <c r="GF37" t="e">
        <f>AND(Birds!T1,"AAAAAFerPLs=")</f>
        <v>#VALUE!</v>
      </c>
      <c r="GG37" t="e">
        <f>AND(Birds!U1,"AAAAAFerPLw=")</f>
        <v>#VALUE!</v>
      </c>
      <c r="GH37" t="e">
        <f>AND(Birds!V1,"AAAAAFerPL0=")</f>
        <v>#VALUE!</v>
      </c>
      <c r="GI37" t="e">
        <f>AND(Birds!W1,"AAAAAFerPL4=")</f>
        <v>#VALUE!</v>
      </c>
      <c r="GJ37" t="e">
        <f>AND(Birds!X1,"AAAAAFerPL8=")</f>
        <v>#VALUE!</v>
      </c>
      <c r="GK37" t="e">
        <f>AND(Birds!Y1,"AAAAAFerPMA=")</f>
        <v>#VALUE!</v>
      </c>
      <c r="GL37" t="e">
        <f>AND(Birds!Z1,"AAAAAFerPME=")</f>
        <v>#VALUE!</v>
      </c>
      <c r="GM37" t="e">
        <f>AND(Birds!AA1,"AAAAAFerPMI=")</f>
        <v>#VALUE!</v>
      </c>
      <c r="GN37" t="e">
        <f>AND(Birds!AB1,"AAAAAFerPMM=")</f>
        <v>#VALUE!</v>
      </c>
      <c r="GO37" t="e">
        <f>AND(Birds!AC1,"AAAAAFerPMQ=")</f>
        <v>#VALUE!</v>
      </c>
      <c r="GP37" t="e">
        <f>AND(Birds!AD1,"AAAAAFerPMU=")</f>
        <v>#VALUE!</v>
      </c>
      <c r="GQ37" t="e">
        <f>AND(Birds!AE1,"AAAAAFerPMY=")</f>
        <v>#VALUE!</v>
      </c>
      <c r="GR37" t="e">
        <f>AND(Birds!AF1,"AAAAAFerPMc=")</f>
        <v>#VALUE!</v>
      </c>
      <c r="GS37" t="e">
        <f>AND(Birds!AG1,"AAAAAFerPMg=")</f>
        <v>#VALUE!</v>
      </c>
      <c r="GT37" t="e">
        <f>AND(Birds!AH1,"AAAAAFerPMk=")</f>
        <v>#VALUE!</v>
      </c>
      <c r="GU37" t="e">
        <f>AND(Birds!AI1,"AAAAAFerPMo=")</f>
        <v>#VALUE!</v>
      </c>
      <c r="GV37" t="e">
        <f>AND(Birds!AJ1,"AAAAAFerPMs=")</f>
        <v>#VALUE!</v>
      </c>
      <c r="GW37" t="e">
        <f>AND(Birds!AK1,"AAAAAFerPMw=")</f>
        <v>#VALUE!</v>
      </c>
      <c r="GX37" t="e">
        <f>AND(Birds!AL1,"AAAAAFerPM0=")</f>
        <v>#VALUE!</v>
      </c>
      <c r="GY37" t="e">
        <f>AND(Birds!AM1,"AAAAAFerPM4=")</f>
        <v>#VALUE!</v>
      </c>
      <c r="GZ37" t="e">
        <f>AND(Birds!AN1,"AAAAAFerPM8=")</f>
        <v>#VALUE!</v>
      </c>
      <c r="HA37" t="e">
        <f>AND(Birds!AO1,"AAAAAFerPNA=")</f>
        <v>#VALUE!</v>
      </c>
      <c r="HB37" t="e">
        <f>AND(Birds!AP1,"AAAAAFerPNE=")</f>
        <v>#VALUE!</v>
      </c>
      <c r="HC37" t="e">
        <f>AND(Birds!AQ1,"AAAAAFerPNI=")</f>
        <v>#VALUE!</v>
      </c>
      <c r="HD37" t="e">
        <f>AND(Birds!AR1,"AAAAAFerPNM=")</f>
        <v>#VALUE!</v>
      </c>
      <c r="HE37" t="e">
        <f>AND(Birds!AS1,"AAAAAFerPNQ=")</f>
        <v>#VALUE!</v>
      </c>
      <c r="HF37" t="e">
        <f>AND(Birds!AT1,"AAAAAFerPNU=")</f>
        <v>#VALUE!</v>
      </c>
      <c r="HG37" t="e">
        <f>AND(Birds!AU1,"AAAAAFerPNY=")</f>
        <v>#VALUE!</v>
      </c>
      <c r="HH37" t="e">
        <f>AND(Birds!AV1,"AAAAAFerPNc=")</f>
        <v>#VALUE!</v>
      </c>
      <c r="HI37" t="e">
        <f>AND(Birds!AW1,"AAAAAFerPNg=")</f>
        <v>#VALUE!</v>
      </c>
      <c r="HJ37" t="e">
        <f>AND(Birds!AX1,"AAAAAFerPNk=")</f>
        <v>#VALUE!</v>
      </c>
      <c r="HK37" t="e">
        <f>AND(Birds!AY1,"AAAAAFerPNo=")</f>
        <v>#VALUE!</v>
      </c>
      <c r="HL37" t="e">
        <f>AND(Birds!AZ1,"AAAAAFerPNs=")</f>
        <v>#VALUE!</v>
      </c>
      <c r="HM37" t="e">
        <f>AND(Birds!BA1,"AAAAAFerPNw=")</f>
        <v>#VALUE!</v>
      </c>
      <c r="HN37" t="e">
        <f>AND(Birds!BB1,"AAAAAFerPN0=")</f>
        <v>#VALUE!</v>
      </c>
      <c r="HO37" t="e">
        <f>AND(Birds!BC1,"AAAAAFerPN4=")</f>
        <v>#VALUE!</v>
      </c>
      <c r="HP37" t="e">
        <f>AND(Birds!BD1,"AAAAAFerPN8=")</f>
        <v>#VALUE!</v>
      </c>
      <c r="HQ37" t="e">
        <f>AND(Birds!BE1,"AAAAAFerPOA=")</f>
        <v>#VALUE!</v>
      </c>
      <c r="HR37" t="e">
        <f>AND(Birds!BF1,"AAAAAFerPOE=")</f>
        <v>#VALUE!</v>
      </c>
      <c r="HS37" t="e">
        <f>AND(Birds!BG1,"AAAAAFerPOI=")</f>
        <v>#VALUE!</v>
      </c>
      <c r="HT37" t="e">
        <f>AND(Birds!BH1,"AAAAAFerPOM=")</f>
        <v>#VALUE!</v>
      </c>
      <c r="HU37" t="e">
        <f>AND(Birds!BI1,"AAAAAFerPOQ=")</f>
        <v>#VALUE!</v>
      </c>
      <c r="HV37" t="e">
        <f>AND(Birds!BJ1,"AAAAAFerPOU=")</f>
        <v>#VALUE!</v>
      </c>
      <c r="HW37" t="e">
        <f>AND(Birds!BK1,"AAAAAFerPOY=")</f>
        <v>#VALUE!</v>
      </c>
      <c r="HX37" t="e">
        <f>AND(Birds!BL1,"AAAAAFerPOc=")</f>
        <v>#VALUE!</v>
      </c>
      <c r="HY37" t="e">
        <f>AND(Birds!BM1,"AAAAAFerPOg=")</f>
        <v>#VALUE!</v>
      </c>
      <c r="HZ37" t="e">
        <f>AND(Birds!BN1,"AAAAAFerPOk=")</f>
        <v>#VALUE!</v>
      </c>
      <c r="IA37" t="e">
        <f>AND(Birds!BO1,"AAAAAFerPOo=")</f>
        <v>#VALUE!</v>
      </c>
      <c r="IB37" t="e">
        <f>AND(Birds!BP1,"AAAAAFerPOs=")</f>
        <v>#VALUE!</v>
      </c>
      <c r="IC37" t="e">
        <f>AND(Birds!BQ1,"AAAAAFerPOw=")</f>
        <v>#VALUE!</v>
      </c>
      <c r="ID37" t="e">
        <f>AND(Birds!BR1,"AAAAAFerPO0=")</f>
        <v>#VALUE!</v>
      </c>
      <c r="IE37" t="e">
        <f>AND(Birds!BS1,"AAAAAFerPO4=")</f>
        <v>#VALUE!</v>
      </c>
      <c r="IF37" t="e">
        <f>AND(Birds!BT1,"AAAAAFerPO8=")</f>
        <v>#VALUE!</v>
      </c>
      <c r="IG37" t="e">
        <f>AND(Birds!BU1,"AAAAAFerPPA=")</f>
        <v>#VALUE!</v>
      </c>
      <c r="IH37" t="e">
        <f>AND(Birds!BV1,"AAAAAFerPPE=")</f>
        <v>#VALUE!</v>
      </c>
      <c r="II37" t="e">
        <f>AND(Birds!BW1,"AAAAAFerPPI=")</f>
        <v>#VALUE!</v>
      </c>
      <c r="IJ37" t="e">
        <f>AND(Birds!BX1,"AAAAAFerPPM=")</f>
        <v>#VALUE!</v>
      </c>
      <c r="IK37" t="e">
        <f>AND(Birds!BY1,"AAAAAFerPPQ=")</f>
        <v>#VALUE!</v>
      </c>
      <c r="IL37" t="e">
        <f>AND(Birds!BZ1,"AAAAAFerPPU=")</f>
        <v>#VALUE!</v>
      </c>
      <c r="IM37" t="e">
        <f>AND(Birds!CA1,"AAAAAFerPPY=")</f>
        <v>#VALUE!</v>
      </c>
      <c r="IN37" t="e">
        <f>AND(Birds!CB1,"AAAAAFerPPc=")</f>
        <v>#VALUE!</v>
      </c>
      <c r="IO37" t="e">
        <f>AND(Birds!CC1,"AAAAAFerPPg=")</f>
        <v>#VALUE!</v>
      </c>
      <c r="IP37" t="e">
        <f>AND(Birds!CD1,"AAAAAFerPPk=")</f>
        <v>#VALUE!</v>
      </c>
      <c r="IQ37" t="e">
        <f>AND(Birds!CE1,"AAAAAFerPPo=")</f>
        <v>#VALUE!</v>
      </c>
      <c r="IR37" t="e">
        <f>AND(Birds!CF1,"AAAAAFerPPs=")</f>
        <v>#VALUE!</v>
      </c>
      <c r="IS37" t="e">
        <f>AND(Birds!CG1,"AAAAAFerPPw=")</f>
        <v>#VALUE!</v>
      </c>
      <c r="IT37" t="e">
        <f>AND(Birds!CH1,"AAAAAFerPP0=")</f>
        <v>#VALUE!</v>
      </c>
      <c r="IU37" t="e">
        <f>AND(Birds!CI1,"AAAAAFerPP4=")</f>
        <v>#VALUE!</v>
      </c>
      <c r="IV37" t="e">
        <f>AND(Birds!CJ1,"AAAAAFerPP8=")</f>
        <v>#VALUE!</v>
      </c>
    </row>
    <row r="38" spans="1:256">
      <c r="A38" t="e">
        <f>AND(Birds!CK1,"AAAAAH5OfwA=")</f>
        <v>#VALUE!</v>
      </c>
      <c r="B38" t="e">
        <f>AND(Birds!CL1,"AAAAAH5OfwE=")</f>
        <v>#VALUE!</v>
      </c>
      <c r="C38" t="e">
        <f>AND(Birds!CM1,"AAAAAH5OfwI=")</f>
        <v>#VALUE!</v>
      </c>
      <c r="D38" t="e">
        <f>AND(Birds!CN1,"AAAAAH5OfwM=")</f>
        <v>#VALUE!</v>
      </c>
      <c r="E38" t="e">
        <f>AND(Birds!CO1,"AAAAAH5OfwQ=")</f>
        <v>#VALUE!</v>
      </c>
      <c r="F38" t="e">
        <f>AND(Birds!CP1,"AAAAAH5OfwU=")</f>
        <v>#VALUE!</v>
      </c>
      <c r="G38" t="e">
        <f>AND(Birds!CQ1,"AAAAAH5OfwY=")</f>
        <v>#VALUE!</v>
      </c>
      <c r="H38" t="e">
        <f>AND(Birds!CR1,"AAAAAH5Ofwc=")</f>
        <v>#VALUE!</v>
      </c>
      <c r="I38" t="e">
        <f>AND(Birds!CS1,"AAAAAH5Ofwg=")</f>
        <v>#VALUE!</v>
      </c>
      <c r="J38" t="e">
        <f>AND(Birds!CT1,"AAAAAH5Ofwk=")</f>
        <v>#VALUE!</v>
      </c>
      <c r="K38" t="e">
        <f>AND(Birds!CU1,"AAAAAH5Ofwo=")</f>
        <v>#VALUE!</v>
      </c>
      <c r="L38" t="e">
        <f>AND(Birds!CV1,"AAAAAH5Ofws=")</f>
        <v>#VALUE!</v>
      </c>
      <c r="M38" t="e">
        <f>AND(Birds!CW1,"AAAAAH5Ofww=")</f>
        <v>#VALUE!</v>
      </c>
      <c r="N38" t="e">
        <f>AND(Birds!CX1,"AAAAAH5Ofw0=")</f>
        <v>#VALUE!</v>
      </c>
      <c r="O38" t="e">
        <f>AND(Birds!CY1,"AAAAAH5Ofw4=")</f>
        <v>#VALUE!</v>
      </c>
      <c r="P38" t="e">
        <f>AND(Birds!CZ1,"AAAAAH5Ofw8=")</f>
        <v>#VALUE!</v>
      </c>
      <c r="Q38" t="e">
        <f>AND(Birds!DA1,"AAAAAH5OfxA=")</f>
        <v>#VALUE!</v>
      </c>
      <c r="R38" t="e">
        <f>AND(Birds!DB1,"AAAAAH5OfxE=")</f>
        <v>#VALUE!</v>
      </c>
      <c r="S38" t="e">
        <f>AND(Birds!DC1,"AAAAAH5OfxI=")</f>
        <v>#VALUE!</v>
      </c>
      <c r="T38" t="e">
        <f>AND(Birds!DD1,"AAAAAH5OfxM=")</f>
        <v>#VALUE!</v>
      </c>
      <c r="U38" t="e">
        <f>AND(Birds!DE1,"AAAAAH5OfxQ=")</f>
        <v>#VALUE!</v>
      </c>
      <c r="V38" t="e">
        <f>AND(Birds!DF1,"AAAAAH5OfxU=")</f>
        <v>#VALUE!</v>
      </c>
      <c r="W38" t="e">
        <f>AND(Birds!DG1,"AAAAAH5OfxY=")</f>
        <v>#VALUE!</v>
      </c>
      <c r="X38" t="e">
        <f>AND(Birds!DH1,"AAAAAH5Ofxc=")</f>
        <v>#VALUE!</v>
      </c>
      <c r="Y38" t="e">
        <f>AND(Birds!DI1,"AAAAAH5Ofxg=")</f>
        <v>#VALUE!</v>
      </c>
      <c r="Z38" t="e">
        <f>AND(Birds!DJ1,"AAAAAH5Ofxk=")</f>
        <v>#VALUE!</v>
      </c>
      <c r="AA38" t="e">
        <f>AND(Birds!DK1,"AAAAAH5Ofxo=")</f>
        <v>#VALUE!</v>
      </c>
      <c r="AB38" t="e">
        <f>AND(Birds!DL1,"AAAAAH5Ofxs=")</f>
        <v>#VALUE!</v>
      </c>
      <c r="AC38" t="e">
        <f>AND(Birds!DM1,"AAAAAH5Ofxw=")</f>
        <v>#VALUE!</v>
      </c>
      <c r="AD38" t="e">
        <f>AND(Birds!DN1,"AAAAAH5Ofx0=")</f>
        <v>#VALUE!</v>
      </c>
      <c r="AE38" t="e">
        <f>AND(Birds!DO1,"AAAAAH5Ofx4=")</f>
        <v>#VALUE!</v>
      </c>
      <c r="AF38" t="e">
        <f>AND(Birds!DP1,"AAAAAH5Ofx8=")</f>
        <v>#VALUE!</v>
      </c>
      <c r="AG38" t="e">
        <f>AND(Birds!DQ1,"AAAAAH5OfyA=")</f>
        <v>#VALUE!</v>
      </c>
      <c r="AH38" t="e">
        <f>AND(Birds!DR1,"AAAAAH5OfyE=")</f>
        <v>#VALUE!</v>
      </c>
      <c r="AI38" t="e">
        <f>AND(Birds!DS1,"AAAAAH5OfyI=")</f>
        <v>#VALUE!</v>
      </c>
      <c r="AJ38" t="e">
        <f>AND(Birds!DT1,"AAAAAH5OfyM=")</f>
        <v>#VALUE!</v>
      </c>
      <c r="AK38" t="e">
        <f>AND(Birds!DU1,"AAAAAH5OfyQ=")</f>
        <v>#VALUE!</v>
      </c>
      <c r="AL38" t="e">
        <f>AND(Birds!DV1,"AAAAAH5OfyU=")</f>
        <v>#VALUE!</v>
      </c>
      <c r="AM38" t="e">
        <f>AND(Birds!DW1,"AAAAAH5OfyY=")</f>
        <v>#VALUE!</v>
      </c>
      <c r="AN38" t="e">
        <f>AND(Birds!DX1,"AAAAAH5Ofyc=")</f>
        <v>#VALUE!</v>
      </c>
      <c r="AO38" t="e">
        <f>AND(Birds!DY1,"AAAAAH5Ofyg=")</f>
        <v>#VALUE!</v>
      </c>
      <c r="AP38" t="e">
        <f>AND(Birds!DZ1,"AAAAAH5Ofyk=")</f>
        <v>#VALUE!</v>
      </c>
      <c r="AQ38" t="e">
        <f>AND(Birds!EA1,"AAAAAH5Ofyo=")</f>
        <v>#VALUE!</v>
      </c>
      <c r="AR38" t="e">
        <f>AND(Birds!EB1,"AAAAAH5Ofys=")</f>
        <v>#VALUE!</v>
      </c>
      <c r="AS38" t="e">
        <f>AND(Birds!EC1,"AAAAAH5Ofyw=")</f>
        <v>#VALUE!</v>
      </c>
      <c r="AT38" t="e">
        <f>AND(Birds!ED1,"AAAAAH5Ofy0=")</f>
        <v>#VALUE!</v>
      </c>
      <c r="AU38" t="e">
        <f>AND(Birds!EE1,"AAAAAH5Ofy4=")</f>
        <v>#VALUE!</v>
      </c>
      <c r="AV38" t="e">
        <f>AND(Birds!EF1,"AAAAAH5Ofy8=")</f>
        <v>#VALUE!</v>
      </c>
      <c r="AW38" t="e">
        <f>AND(Birds!EG1,"AAAAAH5OfzA=")</f>
        <v>#VALUE!</v>
      </c>
      <c r="AX38" t="e">
        <f>AND(Birds!EH1,"AAAAAH5OfzE=")</f>
        <v>#VALUE!</v>
      </c>
      <c r="AY38" t="e">
        <f>AND(Birds!EI1,"AAAAAH5OfzI=")</f>
        <v>#VALUE!</v>
      </c>
      <c r="AZ38" t="e">
        <f>AND(Birds!EJ1,"AAAAAH5OfzM=")</f>
        <v>#VALUE!</v>
      </c>
      <c r="BA38" t="e">
        <f>AND(Birds!EK1,"AAAAAH5OfzQ=")</f>
        <v>#VALUE!</v>
      </c>
      <c r="BB38" t="e">
        <f>AND(Birds!EL1,"AAAAAH5OfzU=")</f>
        <v>#VALUE!</v>
      </c>
      <c r="BC38" t="e">
        <f>AND(Birds!EM1,"AAAAAH5OfzY=")</f>
        <v>#VALUE!</v>
      </c>
      <c r="BD38" t="e">
        <f>AND(Birds!EN1,"AAAAAH5Ofzc=")</f>
        <v>#VALUE!</v>
      </c>
      <c r="BE38" t="e">
        <f>AND(Birds!EO1,"AAAAAH5Ofzg=")</f>
        <v>#VALUE!</v>
      </c>
      <c r="BF38" t="e">
        <f>AND(Birds!EP1,"AAAAAH5Ofzk=")</f>
        <v>#VALUE!</v>
      </c>
      <c r="BG38" t="e">
        <f>AND(Birds!EQ1,"AAAAAH5Ofzo=")</f>
        <v>#VALUE!</v>
      </c>
      <c r="BH38" t="e">
        <f>AND(Birds!ER1,"AAAAAH5Ofzs=")</f>
        <v>#VALUE!</v>
      </c>
      <c r="BI38" t="e">
        <f>AND(Birds!ES1,"AAAAAH5Ofzw=")</f>
        <v>#VALUE!</v>
      </c>
      <c r="BJ38" t="e">
        <f>AND(Birds!ET1,"AAAAAH5Ofz0=")</f>
        <v>#VALUE!</v>
      </c>
      <c r="BK38" t="e">
        <f>AND(Birds!EU1,"AAAAAH5Ofz4=")</f>
        <v>#VALUE!</v>
      </c>
      <c r="BL38" t="e">
        <f>AND(Birds!EV1,"AAAAAH5Ofz8=")</f>
        <v>#VALUE!</v>
      </c>
      <c r="BM38" t="e">
        <f>AND(Birds!EW1,"AAAAAH5Of0A=")</f>
        <v>#VALUE!</v>
      </c>
      <c r="BN38" t="e">
        <f>AND(Birds!EX1,"AAAAAH5Of0E=")</f>
        <v>#VALUE!</v>
      </c>
      <c r="BO38" t="e">
        <f>AND(Birds!EY1,"AAAAAH5Of0I=")</f>
        <v>#VALUE!</v>
      </c>
      <c r="BP38" t="e">
        <f>AND(Birds!EZ1,"AAAAAH5Of0M=")</f>
        <v>#VALUE!</v>
      </c>
      <c r="BQ38" t="e">
        <f>AND(Birds!FA1,"AAAAAH5Of0Q=")</f>
        <v>#VALUE!</v>
      </c>
      <c r="BR38" t="e">
        <f>AND(Birds!FB1,"AAAAAH5Of0U=")</f>
        <v>#VALUE!</v>
      </c>
      <c r="BS38" t="e">
        <f>AND(Birds!FC1,"AAAAAH5Of0Y=")</f>
        <v>#VALUE!</v>
      </c>
      <c r="BT38" t="e">
        <f>AND(Birds!FD1,"AAAAAH5Of0c=")</f>
        <v>#VALUE!</v>
      </c>
      <c r="BU38" t="e">
        <f>AND(Birds!FE1,"AAAAAH5Of0g=")</f>
        <v>#VALUE!</v>
      </c>
      <c r="BV38" t="e">
        <f>AND(Birds!FF1,"AAAAAH5Of0k=")</f>
        <v>#VALUE!</v>
      </c>
      <c r="BW38" t="e">
        <f>AND(Birds!FG1,"AAAAAH5Of0o=")</f>
        <v>#VALUE!</v>
      </c>
      <c r="BX38" t="e">
        <f>AND(Birds!FH1,"AAAAAH5Of0s=")</f>
        <v>#VALUE!</v>
      </c>
      <c r="BY38" t="e">
        <f>AND(Birds!FI1,"AAAAAH5Of0w=")</f>
        <v>#VALUE!</v>
      </c>
      <c r="BZ38" t="e">
        <f>AND(Birds!FJ1,"AAAAAH5Of00=")</f>
        <v>#VALUE!</v>
      </c>
      <c r="CA38" t="e">
        <f>AND(Birds!FK1,"AAAAAH5Of04=")</f>
        <v>#VALUE!</v>
      </c>
      <c r="CB38" t="e">
        <f>AND(Birds!FL1,"AAAAAH5Of08=")</f>
        <v>#VALUE!</v>
      </c>
      <c r="CC38" t="e">
        <f>AND(Birds!FM1,"AAAAAH5Of1A=")</f>
        <v>#VALUE!</v>
      </c>
      <c r="CD38" t="e">
        <f>AND(Birds!FN1,"AAAAAH5Of1E=")</f>
        <v>#VALUE!</v>
      </c>
      <c r="CE38" t="e">
        <f>AND(Birds!FO1,"AAAAAH5Of1I=")</f>
        <v>#VALUE!</v>
      </c>
      <c r="CF38" t="e">
        <f>AND(Birds!FP1,"AAAAAH5Of1M=")</f>
        <v>#VALUE!</v>
      </c>
      <c r="CG38" t="e">
        <f>AND(Birds!FQ1,"AAAAAH5Of1Q=")</f>
        <v>#VALUE!</v>
      </c>
      <c r="CH38" t="e">
        <f>AND(Birds!FR1,"AAAAAH5Of1U=")</f>
        <v>#VALUE!</v>
      </c>
      <c r="CI38" t="e">
        <f>AND(Birds!FS1,"AAAAAH5Of1Y=")</f>
        <v>#VALUE!</v>
      </c>
      <c r="CJ38" t="e">
        <f>AND(Birds!FT1,"AAAAAH5Of1c=")</f>
        <v>#VALUE!</v>
      </c>
      <c r="CK38" t="e">
        <f>AND(Birds!FU1,"AAAAAH5Of1g=")</f>
        <v>#VALUE!</v>
      </c>
      <c r="CL38" t="e">
        <f>AND(Birds!FV1,"AAAAAH5Of1k=")</f>
        <v>#VALUE!</v>
      </c>
      <c r="CM38" t="e">
        <f>AND(Birds!FW1,"AAAAAH5Of1o=")</f>
        <v>#VALUE!</v>
      </c>
      <c r="CN38" t="e">
        <f>AND(Birds!FX1,"AAAAAH5Of1s=")</f>
        <v>#VALUE!</v>
      </c>
      <c r="CO38" t="e">
        <f>AND(Birds!FY1,"AAAAAH5Of1w=")</f>
        <v>#VALUE!</v>
      </c>
      <c r="CP38" t="e">
        <f>AND(Birds!FZ1,"AAAAAH5Of10=")</f>
        <v>#VALUE!</v>
      </c>
      <c r="CQ38" t="e">
        <f>AND(Birds!GA1,"AAAAAH5Of14=")</f>
        <v>#VALUE!</v>
      </c>
      <c r="CR38" t="e">
        <f>AND(Birds!GB1,"AAAAAH5Of18=")</f>
        <v>#VALUE!</v>
      </c>
      <c r="CS38" t="e">
        <f>AND(Birds!GC1,"AAAAAH5Of2A=")</f>
        <v>#VALUE!</v>
      </c>
      <c r="CT38" t="e">
        <f>AND(Birds!GD1,"AAAAAH5Of2E=")</f>
        <v>#VALUE!</v>
      </c>
      <c r="CU38" t="e">
        <f>AND(Birds!GE1,"AAAAAH5Of2I=")</f>
        <v>#VALUE!</v>
      </c>
      <c r="CV38" t="e">
        <f>AND(Birds!GF1,"AAAAAH5Of2M=")</f>
        <v>#VALUE!</v>
      </c>
      <c r="CW38" t="e">
        <f>AND(Birds!GG1,"AAAAAH5Of2Q=")</f>
        <v>#VALUE!</v>
      </c>
      <c r="CX38" t="e">
        <f>AND(Birds!GH1,"AAAAAH5Of2U=")</f>
        <v>#VALUE!</v>
      </c>
      <c r="CY38" t="e">
        <f>AND(Birds!GI1,"AAAAAH5Of2Y=")</f>
        <v>#VALUE!</v>
      </c>
      <c r="CZ38" t="e">
        <f>AND(Birds!GJ1,"AAAAAH5Of2c=")</f>
        <v>#VALUE!</v>
      </c>
      <c r="DA38" t="e">
        <f>AND(Birds!GK1,"AAAAAH5Of2g=")</f>
        <v>#VALUE!</v>
      </c>
      <c r="DB38" t="e">
        <f>AND(Birds!GL1,"AAAAAH5Of2k=")</f>
        <v>#VALUE!</v>
      </c>
      <c r="DC38" t="e">
        <f>AND(Birds!GM1,"AAAAAH5Of2o=")</f>
        <v>#VALUE!</v>
      </c>
      <c r="DD38">
        <f>IF(Birds!2:2,"AAAAAH5Of2s=",0)</f>
        <v>0</v>
      </c>
      <c r="DE38" t="e">
        <f>AND(Birds!A2,"AAAAAH5Of2w=")</f>
        <v>#VALUE!</v>
      </c>
      <c r="DF38" t="e">
        <f>AND(Birds!B2,"AAAAAH5Of20=")</f>
        <v>#VALUE!</v>
      </c>
      <c r="DG38" t="e">
        <f>AND(Birds!C2,"AAAAAH5Of24=")</f>
        <v>#VALUE!</v>
      </c>
      <c r="DH38" t="e">
        <f>AND(Birds!D2,"AAAAAH5Of28=")</f>
        <v>#VALUE!</v>
      </c>
      <c r="DI38" t="e">
        <f>AND(Birds!E2,"AAAAAH5Of3A=")</f>
        <v>#VALUE!</v>
      </c>
      <c r="DJ38" t="e">
        <f>AND(Birds!F2,"AAAAAH5Of3E=")</f>
        <v>#VALUE!</v>
      </c>
      <c r="DK38" t="e">
        <f>AND(Birds!G2,"AAAAAH5Of3I=")</f>
        <v>#VALUE!</v>
      </c>
      <c r="DL38" t="e">
        <f>AND(Birds!H2,"AAAAAH5Of3M=")</f>
        <v>#VALUE!</v>
      </c>
      <c r="DM38" t="e">
        <f>AND(Birds!I2,"AAAAAH5Of3Q=")</f>
        <v>#VALUE!</v>
      </c>
      <c r="DN38" t="e">
        <f>AND(Birds!J2,"AAAAAH5Of3U=")</f>
        <v>#VALUE!</v>
      </c>
      <c r="DO38" t="e">
        <f>AND(Birds!K2,"AAAAAH5Of3Y=")</f>
        <v>#VALUE!</v>
      </c>
      <c r="DP38" t="e">
        <f>AND(Birds!L2,"AAAAAH5Of3c=")</f>
        <v>#VALUE!</v>
      </c>
      <c r="DQ38" t="e">
        <f>AND(Birds!M2,"AAAAAH5Of3g=")</f>
        <v>#VALUE!</v>
      </c>
      <c r="DR38" t="e">
        <f>AND(Birds!N2,"AAAAAH5Of3k=")</f>
        <v>#VALUE!</v>
      </c>
      <c r="DS38" t="e">
        <f>AND(Birds!O2,"AAAAAH5Of3o=")</f>
        <v>#VALUE!</v>
      </c>
      <c r="DT38" t="e">
        <f>AND(Birds!P2,"AAAAAH5Of3s=")</f>
        <v>#VALUE!</v>
      </c>
      <c r="DU38" t="e">
        <f>AND(Birds!Q2,"AAAAAH5Of3w=")</f>
        <v>#VALUE!</v>
      </c>
      <c r="DV38" t="e">
        <f>AND(Birds!R2,"AAAAAH5Of30=")</f>
        <v>#VALUE!</v>
      </c>
      <c r="DW38" t="e">
        <f>AND(Birds!S2,"AAAAAH5Of34=")</f>
        <v>#VALUE!</v>
      </c>
      <c r="DX38" t="e">
        <f>AND(Birds!T2,"AAAAAH5Of38=")</f>
        <v>#VALUE!</v>
      </c>
      <c r="DY38" t="e">
        <f>AND(Birds!U2,"AAAAAH5Of4A=")</f>
        <v>#VALUE!</v>
      </c>
      <c r="DZ38" t="e">
        <f>AND(Birds!V2,"AAAAAH5Of4E=")</f>
        <v>#VALUE!</v>
      </c>
      <c r="EA38" t="e">
        <f>AND(Birds!W2,"AAAAAH5Of4I=")</f>
        <v>#VALUE!</v>
      </c>
      <c r="EB38" t="e">
        <f>AND(Birds!X2,"AAAAAH5Of4M=")</f>
        <v>#VALUE!</v>
      </c>
      <c r="EC38" t="e">
        <f>AND(Birds!Y2,"AAAAAH5Of4Q=")</f>
        <v>#VALUE!</v>
      </c>
      <c r="ED38" t="e">
        <f>AND(Birds!Z2,"AAAAAH5Of4U=")</f>
        <v>#VALUE!</v>
      </c>
      <c r="EE38" t="e">
        <f>AND(Birds!AA2,"AAAAAH5Of4Y=")</f>
        <v>#VALUE!</v>
      </c>
      <c r="EF38" t="e">
        <f>AND(Birds!AB2,"AAAAAH5Of4c=")</f>
        <v>#VALUE!</v>
      </c>
      <c r="EG38" t="e">
        <f>AND(Birds!AC2,"AAAAAH5Of4g=")</f>
        <v>#VALUE!</v>
      </c>
      <c r="EH38" t="e">
        <f>AND(Birds!AD2,"AAAAAH5Of4k=")</f>
        <v>#VALUE!</v>
      </c>
      <c r="EI38" t="e">
        <f>AND(Birds!AE2,"AAAAAH5Of4o=")</f>
        <v>#VALUE!</v>
      </c>
      <c r="EJ38" t="e">
        <f>AND(Birds!AF2,"AAAAAH5Of4s=")</f>
        <v>#VALUE!</v>
      </c>
      <c r="EK38" t="e">
        <f>AND(Birds!AG2,"AAAAAH5Of4w=")</f>
        <v>#VALUE!</v>
      </c>
      <c r="EL38" t="e">
        <f>AND(Birds!AH2,"AAAAAH5Of40=")</f>
        <v>#VALUE!</v>
      </c>
      <c r="EM38" t="e">
        <f>AND(Birds!AI2,"AAAAAH5Of44=")</f>
        <v>#VALUE!</v>
      </c>
      <c r="EN38" t="e">
        <f>AND(Birds!AJ2,"AAAAAH5Of48=")</f>
        <v>#VALUE!</v>
      </c>
      <c r="EO38" t="e">
        <f>AND(Birds!AK2,"AAAAAH5Of5A=")</f>
        <v>#VALUE!</v>
      </c>
      <c r="EP38" t="e">
        <f>AND(Birds!AL2,"AAAAAH5Of5E=")</f>
        <v>#VALUE!</v>
      </c>
      <c r="EQ38" t="e">
        <f>AND(Birds!AM2,"AAAAAH5Of5I=")</f>
        <v>#VALUE!</v>
      </c>
      <c r="ER38" t="e">
        <f>AND(Birds!AN2,"AAAAAH5Of5M=")</f>
        <v>#VALUE!</v>
      </c>
      <c r="ES38" t="e">
        <f>AND(Birds!AO2,"AAAAAH5Of5Q=")</f>
        <v>#VALUE!</v>
      </c>
      <c r="ET38" t="e">
        <f>AND(Birds!AP2,"AAAAAH5Of5U=")</f>
        <v>#VALUE!</v>
      </c>
      <c r="EU38" t="e">
        <f>AND(Birds!AQ2,"AAAAAH5Of5Y=")</f>
        <v>#VALUE!</v>
      </c>
      <c r="EV38" t="e">
        <f>AND(Birds!AR2,"AAAAAH5Of5c=")</f>
        <v>#VALUE!</v>
      </c>
      <c r="EW38" t="e">
        <f>AND(Birds!AS2,"AAAAAH5Of5g=")</f>
        <v>#VALUE!</v>
      </c>
      <c r="EX38" t="e">
        <f>AND(Birds!AT2,"AAAAAH5Of5k=")</f>
        <v>#VALUE!</v>
      </c>
      <c r="EY38" t="e">
        <f>AND(Birds!AU2,"AAAAAH5Of5o=")</f>
        <v>#VALUE!</v>
      </c>
      <c r="EZ38" t="e">
        <f>AND(Birds!AV2,"AAAAAH5Of5s=")</f>
        <v>#VALUE!</v>
      </c>
      <c r="FA38" t="e">
        <f>AND(Birds!AW2,"AAAAAH5Of5w=")</f>
        <v>#VALUE!</v>
      </c>
      <c r="FB38" t="e">
        <f>AND(Birds!AX2,"AAAAAH5Of50=")</f>
        <v>#VALUE!</v>
      </c>
      <c r="FC38" t="e">
        <f>AND(Birds!AY2,"AAAAAH5Of54=")</f>
        <v>#VALUE!</v>
      </c>
      <c r="FD38" t="e">
        <f>AND(Birds!AZ2,"AAAAAH5Of58=")</f>
        <v>#VALUE!</v>
      </c>
      <c r="FE38" t="e">
        <f>AND(Birds!BA2,"AAAAAH5Of6A=")</f>
        <v>#VALUE!</v>
      </c>
      <c r="FF38" t="e">
        <f>AND(Birds!BB2,"AAAAAH5Of6E=")</f>
        <v>#VALUE!</v>
      </c>
      <c r="FG38" t="e">
        <f>AND(Birds!BC2,"AAAAAH5Of6I=")</f>
        <v>#VALUE!</v>
      </c>
      <c r="FH38" t="e">
        <f>AND(Birds!BD2,"AAAAAH5Of6M=")</f>
        <v>#VALUE!</v>
      </c>
      <c r="FI38" t="e">
        <f>AND(Birds!BE2,"AAAAAH5Of6Q=")</f>
        <v>#VALUE!</v>
      </c>
      <c r="FJ38" t="e">
        <f>AND(Birds!BF2,"AAAAAH5Of6U=")</f>
        <v>#VALUE!</v>
      </c>
      <c r="FK38" t="e">
        <f>AND(Birds!BG2,"AAAAAH5Of6Y=")</f>
        <v>#VALUE!</v>
      </c>
      <c r="FL38" t="e">
        <f>AND(Birds!BH2,"AAAAAH5Of6c=")</f>
        <v>#VALUE!</v>
      </c>
      <c r="FM38" t="e">
        <f>AND(Birds!BI2,"AAAAAH5Of6g=")</f>
        <v>#VALUE!</v>
      </c>
      <c r="FN38" t="e">
        <f>AND(Birds!BJ2,"AAAAAH5Of6k=")</f>
        <v>#VALUE!</v>
      </c>
      <c r="FO38" t="e">
        <f>AND(Birds!BK2,"AAAAAH5Of6o=")</f>
        <v>#VALUE!</v>
      </c>
      <c r="FP38" t="e">
        <f>AND(Birds!BL2,"AAAAAH5Of6s=")</f>
        <v>#VALUE!</v>
      </c>
      <c r="FQ38" t="e">
        <f>AND(Birds!BM2,"AAAAAH5Of6w=")</f>
        <v>#VALUE!</v>
      </c>
      <c r="FR38" t="e">
        <f>AND(Birds!BN2,"AAAAAH5Of60=")</f>
        <v>#VALUE!</v>
      </c>
      <c r="FS38" t="e">
        <f>AND(Birds!BO2,"AAAAAH5Of64=")</f>
        <v>#VALUE!</v>
      </c>
      <c r="FT38" t="e">
        <f>AND(Birds!BP2,"AAAAAH5Of68=")</f>
        <v>#VALUE!</v>
      </c>
      <c r="FU38" t="e">
        <f>AND(Birds!BQ2,"AAAAAH5Of7A=")</f>
        <v>#VALUE!</v>
      </c>
      <c r="FV38" t="e">
        <f>AND(Birds!BR2,"AAAAAH5Of7E=")</f>
        <v>#VALUE!</v>
      </c>
      <c r="FW38" t="e">
        <f>AND(Birds!BS2,"AAAAAH5Of7I=")</f>
        <v>#VALUE!</v>
      </c>
      <c r="FX38" t="e">
        <f>AND(Birds!BT2,"AAAAAH5Of7M=")</f>
        <v>#VALUE!</v>
      </c>
      <c r="FY38" t="e">
        <f>AND(Birds!BU2,"AAAAAH5Of7Q=")</f>
        <v>#VALUE!</v>
      </c>
      <c r="FZ38" t="e">
        <f>AND(Birds!BV2,"AAAAAH5Of7U=")</f>
        <v>#VALUE!</v>
      </c>
      <c r="GA38" t="e">
        <f>AND(Birds!BW2,"AAAAAH5Of7Y=")</f>
        <v>#VALUE!</v>
      </c>
      <c r="GB38" t="e">
        <f>AND(Birds!BX2,"AAAAAH5Of7c=")</f>
        <v>#VALUE!</v>
      </c>
      <c r="GC38" t="e">
        <f>AND(Birds!BY2,"AAAAAH5Of7g=")</f>
        <v>#VALUE!</v>
      </c>
      <c r="GD38" t="e">
        <f>AND(Birds!BZ2,"AAAAAH5Of7k=")</f>
        <v>#VALUE!</v>
      </c>
      <c r="GE38" t="e">
        <f>AND(Birds!CA2,"AAAAAH5Of7o=")</f>
        <v>#VALUE!</v>
      </c>
      <c r="GF38" t="e">
        <f>AND(Birds!CB2,"AAAAAH5Of7s=")</f>
        <v>#VALUE!</v>
      </c>
      <c r="GG38" t="e">
        <f>AND(Birds!CC2,"AAAAAH5Of7w=")</f>
        <v>#VALUE!</v>
      </c>
      <c r="GH38" t="e">
        <f>AND(Birds!CD2,"AAAAAH5Of70=")</f>
        <v>#VALUE!</v>
      </c>
      <c r="GI38" t="e">
        <f>AND(Birds!CE2,"AAAAAH5Of74=")</f>
        <v>#VALUE!</v>
      </c>
      <c r="GJ38" t="e">
        <f>AND(Birds!CF2,"AAAAAH5Of78=")</f>
        <v>#VALUE!</v>
      </c>
      <c r="GK38" t="e">
        <f>AND(Birds!CG2,"AAAAAH5Of8A=")</f>
        <v>#VALUE!</v>
      </c>
      <c r="GL38" t="e">
        <f>AND(Birds!CH2,"AAAAAH5Of8E=")</f>
        <v>#VALUE!</v>
      </c>
      <c r="GM38" t="e">
        <f>AND(Birds!CI2,"AAAAAH5Of8I=")</f>
        <v>#VALUE!</v>
      </c>
      <c r="GN38" t="e">
        <f>AND(Birds!CJ2,"AAAAAH5Of8M=")</f>
        <v>#VALUE!</v>
      </c>
      <c r="GO38" t="e">
        <f>AND(Birds!CK2,"AAAAAH5Of8Q=")</f>
        <v>#VALUE!</v>
      </c>
      <c r="GP38" t="e">
        <f>AND(Birds!CL2,"AAAAAH5Of8U=")</f>
        <v>#VALUE!</v>
      </c>
      <c r="GQ38" t="e">
        <f>AND(Birds!CM2,"AAAAAH5Of8Y=")</f>
        <v>#VALUE!</v>
      </c>
      <c r="GR38" t="e">
        <f>AND(Birds!CN2,"AAAAAH5Of8c=")</f>
        <v>#VALUE!</v>
      </c>
      <c r="GS38" t="e">
        <f>AND(Birds!CO2,"AAAAAH5Of8g=")</f>
        <v>#VALUE!</v>
      </c>
      <c r="GT38" t="e">
        <f>AND(Birds!CP2,"AAAAAH5Of8k=")</f>
        <v>#VALUE!</v>
      </c>
      <c r="GU38" t="e">
        <f>AND(Birds!CQ2,"AAAAAH5Of8o=")</f>
        <v>#VALUE!</v>
      </c>
      <c r="GV38" t="e">
        <f>AND(Birds!CR2,"AAAAAH5Of8s=")</f>
        <v>#VALUE!</v>
      </c>
      <c r="GW38" t="e">
        <f>AND(Birds!CS2,"AAAAAH5Of8w=")</f>
        <v>#VALUE!</v>
      </c>
      <c r="GX38" t="e">
        <f>AND(Birds!CT2,"AAAAAH5Of80=")</f>
        <v>#VALUE!</v>
      </c>
      <c r="GY38" t="e">
        <f>AND(Birds!CU2,"AAAAAH5Of84=")</f>
        <v>#VALUE!</v>
      </c>
      <c r="GZ38" t="e">
        <f>AND(Birds!CV2,"AAAAAH5Of88=")</f>
        <v>#VALUE!</v>
      </c>
      <c r="HA38" t="e">
        <f>AND(Birds!CW2,"AAAAAH5Of9A=")</f>
        <v>#VALUE!</v>
      </c>
      <c r="HB38" t="e">
        <f>AND(Birds!CX2,"AAAAAH5Of9E=")</f>
        <v>#VALUE!</v>
      </c>
      <c r="HC38" t="e">
        <f>AND(Birds!CY2,"AAAAAH5Of9I=")</f>
        <v>#VALUE!</v>
      </c>
      <c r="HD38" t="e">
        <f>AND(Birds!CZ2,"AAAAAH5Of9M=")</f>
        <v>#VALUE!</v>
      </c>
      <c r="HE38" t="e">
        <f>AND(Birds!DA2,"AAAAAH5Of9Q=")</f>
        <v>#VALUE!</v>
      </c>
      <c r="HF38" t="e">
        <f>AND(Birds!DB2,"AAAAAH5Of9U=")</f>
        <v>#VALUE!</v>
      </c>
      <c r="HG38" t="e">
        <f>AND(Birds!DC2,"AAAAAH5Of9Y=")</f>
        <v>#VALUE!</v>
      </c>
      <c r="HH38" t="e">
        <f>AND(Birds!DD2,"AAAAAH5Of9c=")</f>
        <v>#VALUE!</v>
      </c>
      <c r="HI38" t="e">
        <f>AND(Birds!DE2,"AAAAAH5Of9g=")</f>
        <v>#VALUE!</v>
      </c>
      <c r="HJ38" t="e">
        <f>AND(Birds!DF2,"AAAAAH5Of9k=")</f>
        <v>#VALUE!</v>
      </c>
      <c r="HK38" t="e">
        <f>AND(Birds!DG2,"AAAAAH5Of9o=")</f>
        <v>#VALUE!</v>
      </c>
      <c r="HL38" t="e">
        <f>AND(Birds!DH2,"AAAAAH5Of9s=")</f>
        <v>#VALUE!</v>
      </c>
      <c r="HM38" t="e">
        <f>AND(Birds!DI2,"AAAAAH5Of9w=")</f>
        <v>#VALUE!</v>
      </c>
      <c r="HN38" t="e">
        <f>AND(Birds!DJ2,"AAAAAH5Of90=")</f>
        <v>#VALUE!</v>
      </c>
      <c r="HO38" t="e">
        <f>AND(Birds!DK2,"AAAAAH5Of94=")</f>
        <v>#VALUE!</v>
      </c>
      <c r="HP38" t="e">
        <f>AND(Birds!DL2,"AAAAAH5Of98=")</f>
        <v>#VALUE!</v>
      </c>
      <c r="HQ38" t="e">
        <f>AND(Birds!DM2,"AAAAAH5Of+A=")</f>
        <v>#VALUE!</v>
      </c>
      <c r="HR38" t="e">
        <f>AND(Birds!DN2,"AAAAAH5Of+E=")</f>
        <v>#VALUE!</v>
      </c>
      <c r="HS38" t="e">
        <f>AND(Birds!DO2,"AAAAAH5Of+I=")</f>
        <v>#VALUE!</v>
      </c>
      <c r="HT38" t="e">
        <f>AND(Birds!DP2,"AAAAAH5Of+M=")</f>
        <v>#VALUE!</v>
      </c>
      <c r="HU38" t="e">
        <f>AND(Birds!DQ2,"AAAAAH5Of+Q=")</f>
        <v>#VALUE!</v>
      </c>
      <c r="HV38" t="e">
        <f>AND(Birds!DR2,"AAAAAH5Of+U=")</f>
        <v>#VALUE!</v>
      </c>
      <c r="HW38" t="e">
        <f>AND(Birds!DS2,"AAAAAH5Of+Y=")</f>
        <v>#VALUE!</v>
      </c>
      <c r="HX38" t="e">
        <f>AND(Birds!DT2,"AAAAAH5Of+c=")</f>
        <v>#VALUE!</v>
      </c>
      <c r="HY38" t="e">
        <f>AND(Birds!DU2,"AAAAAH5Of+g=")</f>
        <v>#VALUE!</v>
      </c>
      <c r="HZ38" t="e">
        <f>AND(Birds!DV2,"AAAAAH5Of+k=")</f>
        <v>#VALUE!</v>
      </c>
      <c r="IA38" t="e">
        <f>AND(Birds!DW2,"AAAAAH5Of+o=")</f>
        <v>#VALUE!</v>
      </c>
      <c r="IB38" t="e">
        <f>AND(Birds!DX2,"AAAAAH5Of+s=")</f>
        <v>#VALUE!</v>
      </c>
      <c r="IC38" t="e">
        <f>AND(Birds!DY2,"AAAAAH5Of+w=")</f>
        <v>#VALUE!</v>
      </c>
      <c r="ID38" t="e">
        <f>AND(Birds!DZ2,"AAAAAH5Of+0=")</f>
        <v>#VALUE!</v>
      </c>
      <c r="IE38" t="e">
        <f>AND(Birds!EA2,"AAAAAH5Of+4=")</f>
        <v>#VALUE!</v>
      </c>
      <c r="IF38" t="e">
        <f>AND(Birds!EB2,"AAAAAH5Of+8=")</f>
        <v>#VALUE!</v>
      </c>
      <c r="IG38" t="e">
        <f>AND(Birds!EC2,"AAAAAH5Of/A=")</f>
        <v>#VALUE!</v>
      </c>
      <c r="IH38" t="e">
        <f>AND(Birds!ED2,"AAAAAH5Of/E=")</f>
        <v>#VALUE!</v>
      </c>
      <c r="II38" t="e">
        <f>AND(Birds!EE2,"AAAAAH5Of/I=")</f>
        <v>#VALUE!</v>
      </c>
      <c r="IJ38" t="e">
        <f>AND(Birds!EF2,"AAAAAH5Of/M=")</f>
        <v>#VALUE!</v>
      </c>
      <c r="IK38" t="e">
        <f>AND(Birds!EG2,"AAAAAH5Of/Q=")</f>
        <v>#VALUE!</v>
      </c>
      <c r="IL38" t="e">
        <f>AND(Birds!EH2,"AAAAAH5Of/U=")</f>
        <v>#VALUE!</v>
      </c>
      <c r="IM38" t="e">
        <f>AND(Birds!EI2,"AAAAAH5Of/Y=")</f>
        <v>#VALUE!</v>
      </c>
      <c r="IN38" t="e">
        <f>AND(Birds!EJ2,"AAAAAH5Of/c=")</f>
        <v>#VALUE!</v>
      </c>
      <c r="IO38" t="e">
        <f>AND(Birds!EK2,"AAAAAH5Of/g=")</f>
        <v>#VALUE!</v>
      </c>
      <c r="IP38" t="e">
        <f>AND(Birds!EL2,"AAAAAH5Of/k=")</f>
        <v>#VALUE!</v>
      </c>
      <c r="IQ38" t="e">
        <f>AND(Birds!EM2,"AAAAAH5Of/o=")</f>
        <v>#VALUE!</v>
      </c>
      <c r="IR38" t="e">
        <f>AND(Birds!EN2,"AAAAAH5Of/s=")</f>
        <v>#VALUE!</v>
      </c>
      <c r="IS38" t="e">
        <f>AND(Birds!EO2,"AAAAAH5Of/w=")</f>
        <v>#VALUE!</v>
      </c>
      <c r="IT38" t="e">
        <f>AND(Birds!EP2,"AAAAAH5Of/0=")</f>
        <v>#VALUE!</v>
      </c>
      <c r="IU38" t="e">
        <f>AND(Birds!EQ2,"AAAAAH5Of/4=")</f>
        <v>#VALUE!</v>
      </c>
      <c r="IV38" t="e">
        <f>AND(Birds!ER2,"AAAAAH5Of/8=")</f>
        <v>#VALUE!</v>
      </c>
    </row>
    <row r="39" spans="1:256">
      <c r="A39" t="e">
        <f>AND(Birds!ES2,"AAAAAHN79wA=")</f>
        <v>#VALUE!</v>
      </c>
      <c r="B39" t="e">
        <f>AND(Birds!ET2,"AAAAAHN79wE=")</f>
        <v>#VALUE!</v>
      </c>
      <c r="C39" t="e">
        <f>AND(Birds!EU2,"AAAAAHN79wI=")</f>
        <v>#VALUE!</v>
      </c>
      <c r="D39" t="e">
        <f>AND(Birds!EV2,"AAAAAHN79wM=")</f>
        <v>#VALUE!</v>
      </c>
      <c r="E39" t="e">
        <f>AND(Birds!EW2,"AAAAAHN79wQ=")</f>
        <v>#VALUE!</v>
      </c>
      <c r="F39" t="e">
        <f>AND(Birds!EX2,"AAAAAHN79wU=")</f>
        <v>#VALUE!</v>
      </c>
      <c r="G39" t="e">
        <f>AND(Birds!EY2,"AAAAAHN79wY=")</f>
        <v>#VALUE!</v>
      </c>
      <c r="H39" t="e">
        <f>AND(Birds!EZ2,"AAAAAHN79wc=")</f>
        <v>#VALUE!</v>
      </c>
      <c r="I39" t="e">
        <f>AND(Birds!FA2,"AAAAAHN79wg=")</f>
        <v>#VALUE!</v>
      </c>
      <c r="J39" t="e">
        <f>AND(Birds!FB2,"AAAAAHN79wk=")</f>
        <v>#VALUE!</v>
      </c>
      <c r="K39" t="e">
        <f>AND(Birds!FC2,"AAAAAHN79wo=")</f>
        <v>#VALUE!</v>
      </c>
      <c r="L39" t="e">
        <f>AND(Birds!FD2,"AAAAAHN79ws=")</f>
        <v>#VALUE!</v>
      </c>
      <c r="M39" t="e">
        <f>AND(Birds!FE2,"AAAAAHN79ww=")</f>
        <v>#VALUE!</v>
      </c>
      <c r="N39" t="e">
        <f>AND(Birds!FF2,"AAAAAHN79w0=")</f>
        <v>#VALUE!</v>
      </c>
      <c r="O39" t="e">
        <f>AND(Birds!FG2,"AAAAAHN79w4=")</f>
        <v>#VALUE!</v>
      </c>
      <c r="P39" t="e">
        <f>AND(Birds!FH2,"AAAAAHN79w8=")</f>
        <v>#VALUE!</v>
      </c>
      <c r="Q39" t="e">
        <f>AND(Birds!FI2,"AAAAAHN79xA=")</f>
        <v>#VALUE!</v>
      </c>
      <c r="R39" t="e">
        <f>AND(Birds!FJ2,"AAAAAHN79xE=")</f>
        <v>#VALUE!</v>
      </c>
      <c r="S39" t="e">
        <f>AND(Birds!FK2,"AAAAAHN79xI=")</f>
        <v>#VALUE!</v>
      </c>
      <c r="T39" t="e">
        <f>AND(Birds!FL2,"AAAAAHN79xM=")</f>
        <v>#VALUE!</v>
      </c>
      <c r="U39" t="e">
        <f>AND(Birds!FM2,"AAAAAHN79xQ=")</f>
        <v>#VALUE!</v>
      </c>
      <c r="V39" t="e">
        <f>AND(Birds!FN2,"AAAAAHN79xU=")</f>
        <v>#VALUE!</v>
      </c>
      <c r="W39" t="e">
        <f>AND(Birds!FO2,"AAAAAHN79xY=")</f>
        <v>#VALUE!</v>
      </c>
      <c r="X39" t="e">
        <f>AND(Birds!FP2,"AAAAAHN79xc=")</f>
        <v>#VALUE!</v>
      </c>
      <c r="Y39" t="e">
        <f>AND(Birds!FQ2,"AAAAAHN79xg=")</f>
        <v>#VALUE!</v>
      </c>
      <c r="Z39" t="e">
        <f>AND(Birds!FR2,"AAAAAHN79xk=")</f>
        <v>#VALUE!</v>
      </c>
      <c r="AA39" t="e">
        <f>AND(Birds!FS2,"AAAAAHN79xo=")</f>
        <v>#VALUE!</v>
      </c>
      <c r="AB39" t="e">
        <f>AND(Birds!FT2,"AAAAAHN79xs=")</f>
        <v>#VALUE!</v>
      </c>
      <c r="AC39" t="e">
        <f>AND(Birds!FU2,"AAAAAHN79xw=")</f>
        <v>#VALUE!</v>
      </c>
      <c r="AD39" t="e">
        <f>AND(Birds!FV2,"AAAAAHN79x0=")</f>
        <v>#VALUE!</v>
      </c>
      <c r="AE39" t="e">
        <f>AND(Birds!FW2,"AAAAAHN79x4=")</f>
        <v>#VALUE!</v>
      </c>
      <c r="AF39" t="e">
        <f>AND(Birds!FX2,"AAAAAHN79x8=")</f>
        <v>#VALUE!</v>
      </c>
      <c r="AG39" t="e">
        <f>AND(Birds!FY2,"AAAAAHN79yA=")</f>
        <v>#VALUE!</v>
      </c>
      <c r="AH39" t="e">
        <f>AND(Birds!FZ2,"AAAAAHN79yE=")</f>
        <v>#VALUE!</v>
      </c>
      <c r="AI39" t="e">
        <f>AND(Birds!GA2,"AAAAAHN79yI=")</f>
        <v>#VALUE!</v>
      </c>
      <c r="AJ39" t="e">
        <f>AND(Birds!GB2,"AAAAAHN79yM=")</f>
        <v>#VALUE!</v>
      </c>
      <c r="AK39" t="e">
        <f>AND(Birds!GC2,"AAAAAHN79yQ=")</f>
        <v>#VALUE!</v>
      </c>
      <c r="AL39" t="e">
        <f>AND(Birds!GD2,"AAAAAHN79yU=")</f>
        <v>#VALUE!</v>
      </c>
      <c r="AM39" t="e">
        <f>AND(Birds!GE2,"AAAAAHN79yY=")</f>
        <v>#VALUE!</v>
      </c>
      <c r="AN39" t="e">
        <f>AND(Birds!GF2,"AAAAAHN79yc=")</f>
        <v>#VALUE!</v>
      </c>
      <c r="AO39" t="e">
        <f>AND(Birds!GG2,"AAAAAHN79yg=")</f>
        <v>#VALUE!</v>
      </c>
      <c r="AP39" t="e">
        <f>AND(Birds!GH2,"AAAAAHN79yk=")</f>
        <v>#VALUE!</v>
      </c>
      <c r="AQ39" t="e">
        <f>AND(Birds!GI2,"AAAAAHN79yo=")</f>
        <v>#VALUE!</v>
      </c>
      <c r="AR39" t="e">
        <f>AND(Birds!GJ2,"AAAAAHN79ys=")</f>
        <v>#VALUE!</v>
      </c>
      <c r="AS39" t="e">
        <f>AND(Birds!GK2,"AAAAAHN79yw=")</f>
        <v>#VALUE!</v>
      </c>
      <c r="AT39" t="e">
        <f>AND(Birds!GL2,"AAAAAHN79y0=")</f>
        <v>#VALUE!</v>
      </c>
      <c r="AU39" t="e">
        <f>AND(Birds!GM2,"AAAAAHN79y4=")</f>
        <v>#VALUE!</v>
      </c>
      <c r="AV39">
        <f>IF(Birds!3:3,"AAAAAHN79y8=",0)</f>
        <v>0</v>
      </c>
      <c r="AW39" t="e">
        <f>AND(Birds!A3,"AAAAAHN79zA=")</f>
        <v>#VALUE!</v>
      </c>
      <c r="AX39" t="e">
        <f>AND(Birds!B3,"AAAAAHN79zE=")</f>
        <v>#VALUE!</v>
      </c>
      <c r="AY39" t="e">
        <f>AND(Birds!C3,"AAAAAHN79zI=")</f>
        <v>#VALUE!</v>
      </c>
      <c r="AZ39" t="e">
        <f>AND(Birds!D3,"AAAAAHN79zM=")</f>
        <v>#VALUE!</v>
      </c>
      <c r="BA39" t="e">
        <f>AND(Birds!E3,"AAAAAHN79zQ=")</f>
        <v>#VALUE!</v>
      </c>
      <c r="BB39" t="e">
        <f>AND(Birds!F3,"AAAAAHN79zU=")</f>
        <v>#VALUE!</v>
      </c>
      <c r="BC39" t="e">
        <f>AND(Birds!G3,"AAAAAHN79zY=")</f>
        <v>#VALUE!</v>
      </c>
      <c r="BD39" t="e">
        <f>AND(Birds!H3,"AAAAAHN79zc=")</f>
        <v>#VALUE!</v>
      </c>
      <c r="BE39" t="e">
        <f>AND(Birds!I3,"AAAAAHN79zg=")</f>
        <v>#VALUE!</v>
      </c>
      <c r="BF39" t="e">
        <f>AND(Birds!J3,"AAAAAHN79zk=")</f>
        <v>#VALUE!</v>
      </c>
      <c r="BG39" t="e">
        <f>AND(Birds!K3,"AAAAAHN79zo=")</f>
        <v>#VALUE!</v>
      </c>
      <c r="BH39" t="e">
        <f>AND(Birds!L3,"AAAAAHN79zs=")</f>
        <v>#VALUE!</v>
      </c>
      <c r="BI39" t="e">
        <f>AND(Birds!M3,"AAAAAHN79zw=")</f>
        <v>#VALUE!</v>
      </c>
      <c r="BJ39" t="e">
        <f>AND(Birds!N3,"AAAAAHN79z0=")</f>
        <v>#VALUE!</v>
      </c>
      <c r="BK39" t="e">
        <f>AND(Birds!O3,"AAAAAHN79z4=")</f>
        <v>#VALUE!</v>
      </c>
      <c r="BL39" t="e">
        <f>AND(Birds!P3,"AAAAAHN79z8=")</f>
        <v>#VALUE!</v>
      </c>
      <c r="BM39" t="e">
        <f>AND(Birds!Q3,"AAAAAHN790A=")</f>
        <v>#VALUE!</v>
      </c>
      <c r="BN39" t="e">
        <f>AND(Birds!R3,"AAAAAHN790E=")</f>
        <v>#VALUE!</v>
      </c>
      <c r="BO39" t="e">
        <f>AND(Birds!S3,"AAAAAHN790I=")</f>
        <v>#VALUE!</v>
      </c>
      <c r="BP39" t="e">
        <f>AND(Birds!T3,"AAAAAHN790M=")</f>
        <v>#VALUE!</v>
      </c>
      <c r="BQ39" t="e">
        <f>AND(Birds!U3,"AAAAAHN790Q=")</f>
        <v>#VALUE!</v>
      </c>
      <c r="BR39" t="e">
        <f>AND(Birds!V3,"AAAAAHN790U=")</f>
        <v>#VALUE!</v>
      </c>
      <c r="BS39" t="e">
        <f>AND(Birds!W3,"AAAAAHN790Y=")</f>
        <v>#VALUE!</v>
      </c>
      <c r="BT39" t="e">
        <f>AND(Birds!X3,"AAAAAHN790c=")</f>
        <v>#VALUE!</v>
      </c>
      <c r="BU39" t="e">
        <f>AND(Birds!Y3,"AAAAAHN790g=")</f>
        <v>#VALUE!</v>
      </c>
      <c r="BV39" t="e">
        <f>AND(Birds!Z3,"AAAAAHN790k=")</f>
        <v>#VALUE!</v>
      </c>
      <c r="BW39" t="e">
        <f>AND(Birds!AA3,"AAAAAHN790o=")</f>
        <v>#VALUE!</v>
      </c>
      <c r="BX39" t="e">
        <f>AND(Birds!AB3,"AAAAAHN790s=")</f>
        <v>#VALUE!</v>
      </c>
      <c r="BY39" t="e">
        <f>AND(Birds!AC3,"AAAAAHN790w=")</f>
        <v>#VALUE!</v>
      </c>
      <c r="BZ39" t="e">
        <f>AND(Birds!AD3,"AAAAAHN7900=")</f>
        <v>#VALUE!</v>
      </c>
      <c r="CA39" t="e">
        <f>AND(Birds!AE3,"AAAAAHN7904=")</f>
        <v>#VALUE!</v>
      </c>
      <c r="CB39" t="e">
        <f>AND(Birds!AF3,"AAAAAHN7908=")</f>
        <v>#VALUE!</v>
      </c>
      <c r="CC39" t="e">
        <f>AND(Birds!AG3,"AAAAAHN791A=")</f>
        <v>#VALUE!</v>
      </c>
      <c r="CD39" t="e">
        <f>AND(Birds!AH3,"AAAAAHN791E=")</f>
        <v>#VALUE!</v>
      </c>
      <c r="CE39" t="e">
        <f>AND(Birds!AI3,"AAAAAHN791I=")</f>
        <v>#VALUE!</v>
      </c>
      <c r="CF39" t="e">
        <f>AND(Birds!AJ3,"AAAAAHN791M=")</f>
        <v>#VALUE!</v>
      </c>
      <c r="CG39" t="e">
        <f>AND(Birds!AK3,"AAAAAHN791Q=")</f>
        <v>#VALUE!</v>
      </c>
      <c r="CH39" t="e">
        <f>AND(Birds!AL3,"AAAAAHN791U=")</f>
        <v>#VALUE!</v>
      </c>
      <c r="CI39" t="e">
        <f>AND(Birds!AM3,"AAAAAHN791Y=")</f>
        <v>#VALUE!</v>
      </c>
      <c r="CJ39" t="e">
        <f>AND(Birds!AN3,"AAAAAHN791c=")</f>
        <v>#VALUE!</v>
      </c>
      <c r="CK39" t="e">
        <f>AND(Birds!AO3,"AAAAAHN791g=")</f>
        <v>#VALUE!</v>
      </c>
      <c r="CL39" t="e">
        <f>AND(Birds!AP3,"AAAAAHN791k=")</f>
        <v>#VALUE!</v>
      </c>
      <c r="CM39" t="e">
        <f>AND(Birds!AQ3,"AAAAAHN791o=")</f>
        <v>#VALUE!</v>
      </c>
      <c r="CN39" t="e">
        <f>AND(Birds!AR3,"AAAAAHN791s=")</f>
        <v>#VALUE!</v>
      </c>
      <c r="CO39" t="e">
        <f>AND(Birds!AS3,"AAAAAHN791w=")</f>
        <v>#VALUE!</v>
      </c>
      <c r="CP39" t="e">
        <f>AND(Birds!AT3,"AAAAAHN7910=")</f>
        <v>#VALUE!</v>
      </c>
      <c r="CQ39" t="e">
        <f>AND(Birds!AU3,"AAAAAHN7914=")</f>
        <v>#VALUE!</v>
      </c>
      <c r="CR39" t="e">
        <f>AND(Birds!AV3,"AAAAAHN7918=")</f>
        <v>#VALUE!</v>
      </c>
      <c r="CS39" t="e">
        <f>AND(Birds!AW3,"AAAAAHN792A=")</f>
        <v>#VALUE!</v>
      </c>
      <c r="CT39" t="e">
        <f>AND(Birds!AX3,"AAAAAHN792E=")</f>
        <v>#VALUE!</v>
      </c>
      <c r="CU39" t="e">
        <f>AND(Birds!AY3,"AAAAAHN792I=")</f>
        <v>#VALUE!</v>
      </c>
      <c r="CV39" t="e">
        <f>AND(Birds!AZ3,"AAAAAHN792M=")</f>
        <v>#VALUE!</v>
      </c>
      <c r="CW39" t="e">
        <f>AND(Birds!BA3,"AAAAAHN792Q=")</f>
        <v>#VALUE!</v>
      </c>
      <c r="CX39" t="e">
        <f>AND(Birds!BB3,"AAAAAHN792U=")</f>
        <v>#VALUE!</v>
      </c>
      <c r="CY39" t="e">
        <f>AND(Birds!BC3,"AAAAAHN792Y=")</f>
        <v>#VALUE!</v>
      </c>
      <c r="CZ39" t="e">
        <f>AND(Birds!BD3,"AAAAAHN792c=")</f>
        <v>#VALUE!</v>
      </c>
      <c r="DA39" t="e">
        <f>AND(Birds!BE3,"AAAAAHN792g=")</f>
        <v>#VALUE!</v>
      </c>
      <c r="DB39" t="e">
        <f>AND(Birds!BF3,"AAAAAHN792k=")</f>
        <v>#VALUE!</v>
      </c>
      <c r="DC39" t="e">
        <f>AND(Birds!BG3,"AAAAAHN792o=")</f>
        <v>#VALUE!</v>
      </c>
      <c r="DD39" t="e">
        <f>AND(Birds!BH3,"AAAAAHN792s=")</f>
        <v>#VALUE!</v>
      </c>
      <c r="DE39" t="e">
        <f>AND(Birds!BI3,"AAAAAHN792w=")</f>
        <v>#VALUE!</v>
      </c>
      <c r="DF39" t="e">
        <f>AND(Birds!BJ3,"AAAAAHN7920=")</f>
        <v>#VALUE!</v>
      </c>
      <c r="DG39" t="e">
        <f>AND(Birds!BK3,"AAAAAHN7924=")</f>
        <v>#VALUE!</v>
      </c>
      <c r="DH39" t="e">
        <f>AND(Birds!BL3,"AAAAAHN7928=")</f>
        <v>#VALUE!</v>
      </c>
      <c r="DI39" t="e">
        <f>AND(Birds!BM3,"AAAAAHN793A=")</f>
        <v>#VALUE!</v>
      </c>
      <c r="DJ39" t="e">
        <f>AND(Birds!BN3,"AAAAAHN793E=")</f>
        <v>#VALUE!</v>
      </c>
      <c r="DK39" t="e">
        <f>AND(Birds!BO3,"AAAAAHN793I=")</f>
        <v>#VALUE!</v>
      </c>
      <c r="DL39" t="e">
        <f>AND(Birds!BP3,"AAAAAHN793M=")</f>
        <v>#VALUE!</v>
      </c>
      <c r="DM39" t="e">
        <f>AND(Birds!BQ3,"AAAAAHN793Q=")</f>
        <v>#VALUE!</v>
      </c>
      <c r="DN39" t="e">
        <f>AND(Birds!BR3,"AAAAAHN793U=")</f>
        <v>#VALUE!</v>
      </c>
      <c r="DO39" t="e">
        <f>AND(Birds!BS3,"AAAAAHN793Y=")</f>
        <v>#VALUE!</v>
      </c>
      <c r="DP39" t="e">
        <f>AND(Birds!BT3,"AAAAAHN793c=")</f>
        <v>#VALUE!</v>
      </c>
      <c r="DQ39" t="e">
        <f>AND(Birds!BU3,"AAAAAHN793g=")</f>
        <v>#VALUE!</v>
      </c>
      <c r="DR39" t="e">
        <f>AND(Birds!BV3,"AAAAAHN793k=")</f>
        <v>#VALUE!</v>
      </c>
      <c r="DS39" t="e">
        <f>AND(Birds!BW3,"AAAAAHN793o=")</f>
        <v>#VALUE!</v>
      </c>
      <c r="DT39" t="e">
        <f>AND(Birds!BX3,"AAAAAHN793s=")</f>
        <v>#VALUE!</v>
      </c>
      <c r="DU39" t="e">
        <f>AND(Birds!BY3,"AAAAAHN793w=")</f>
        <v>#VALUE!</v>
      </c>
      <c r="DV39" t="e">
        <f>AND(Birds!BZ3,"AAAAAHN7930=")</f>
        <v>#VALUE!</v>
      </c>
      <c r="DW39" t="e">
        <f>AND(Birds!CA3,"AAAAAHN7934=")</f>
        <v>#VALUE!</v>
      </c>
      <c r="DX39" t="e">
        <f>AND(Birds!CB3,"AAAAAHN7938=")</f>
        <v>#VALUE!</v>
      </c>
      <c r="DY39" t="e">
        <f>AND(Birds!CC3,"AAAAAHN794A=")</f>
        <v>#VALUE!</v>
      </c>
      <c r="DZ39" t="e">
        <f>AND(Birds!CD3,"AAAAAHN794E=")</f>
        <v>#VALUE!</v>
      </c>
      <c r="EA39" t="e">
        <f>AND(Birds!CE3,"AAAAAHN794I=")</f>
        <v>#VALUE!</v>
      </c>
      <c r="EB39" t="e">
        <f>AND(Birds!CF3,"AAAAAHN794M=")</f>
        <v>#VALUE!</v>
      </c>
      <c r="EC39" t="e">
        <f>AND(Birds!CG3,"AAAAAHN794Q=")</f>
        <v>#VALUE!</v>
      </c>
      <c r="ED39" t="e">
        <f>AND(Birds!CH3,"AAAAAHN794U=")</f>
        <v>#VALUE!</v>
      </c>
      <c r="EE39" t="e">
        <f>AND(Birds!CI3,"AAAAAHN794Y=")</f>
        <v>#VALUE!</v>
      </c>
      <c r="EF39" t="e">
        <f>AND(Birds!CJ3,"AAAAAHN794c=")</f>
        <v>#VALUE!</v>
      </c>
      <c r="EG39" t="e">
        <f>AND(Birds!CK3,"AAAAAHN794g=")</f>
        <v>#VALUE!</v>
      </c>
      <c r="EH39" t="e">
        <f>AND(Birds!CL3,"AAAAAHN794k=")</f>
        <v>#VALUE!</v>
      </c>
      <c r="EI39" t="e">
        <f>AND(Birds!CM3,"AAAAAHN794o=")</f>
        <v>#VALUE!</v>
      </c>
      <c r="EJ39" t="e">
        <f>AND(Birds!CN3,"AAAAAHN794s=")</f>
        <v>#VALUE!</v>
      </c>
      <c r="EK39" t="e">
        <f>AND(Birds!CO3,"AAAAAHN794w=")</f>
        <v>#VALUE!</v>
      </c>
      <c r="EL39" t="e">
        <f>AND(Birds!CP3,"AAAAAHN7940=")</f>
        <v>#VALUE!</v>
      </c>
      <c r="EM39" t="e">
        <f>AND(Birds!CQ3,"AAAAAHN7944=")</f>
        <v>#VALUE!</v>
      </c>
      <c r="EN39" t="e">
        <f>AND(Birds!CR3,"AAAAAHN7948=")</f>
        <v>#VALUE!</v>
      </c>
      <c r="EO39" t="e">
        <f>AND(Birds!CS3,"AAAAAHN795A=")</f>
        <v>#VALUE!</v>
      </c>
      <c r="EP39" t="e">
        <f>AND(Birds!CT3,"AAAAAHN795E=")</f>
        <v>#VALUE!</v>
      </c>
      <c r="EQ39" t="e">
        <f>AND(Birds!CU3,"AAAAAHN795I=")</f>
        <v>#VALUE!</v>
      </c>
      <c r="ER39" t="e">
        <f>AND(Birds!CV3,"AAAAAHN795M=")</f>
        <v>#VALUE!</v>
      </c>
      <c r="ES39" t="e">
        <f>AND(Birds!CW3,"AAAAAHN795Q=")</f>
        <v>#VALUE!</v>
      </c>
      <c r="ET39" t="e">
        <f>AND(Birds!CX3,"AAAAAHN795U=")</f>
        <v>#VALUE!</v>
      </c>
      <c r="EU39" t="e">
        <f>AND(Birds!CY3,"AAAAAHN795Y=")</f>
        <v>#VALUE!</v>
      </c>
      <c r="EV39" t="e">
        <f>AND(Birds!CZ3,"AAAAAHN795c=")</f>
        <v>#VALUE!</v>
      </c>
      <c r="EW39" t="e">
        <f>AND(Birds!DA3,"AAAAAHN795g=")</f>
        <v>#VALUE!</v>
      </c>
      <c r="EX39" t="e">
        <f>AND(Birds!DB3,"AAAAAHN795k=")</f>
        <v>#VALUE!</v>
      </c>
      <c r="EY39" t="e">
        <f>AND(Birds!DC3,"AAAAAHN795o=")</f>
        <v>#VALUE!</v>
      </c>
      <c r="EZ39" t="e">
        <f>AND(Birds!DD3,"AAAAAHN795s=")</f>
        <v>#VALUE!</v>
      </c>
      <c r="FA39" t="e">
        <f>AND(Birds!DE3,"AAAAAHN795w=")</f>
        <v>#VALUE!</v>
      </c>
      <c r="FB39" t="e">
        <f>AND(Birds!DF3,"AAAAAHN7950=")</f>
        <v>#VALUE!</v>
      </c>
      <c r="FC39" t="e">
        <f>AND(Birds!DG3,"AAAAAHN7954=")</f>
        <v>#VALUE!</v>
      </c>
      <c r="FD39" t="e">
        <f>AND(Birds!DH3,"AAAAAHN7958=")</f>
        <v>#VALUE!</v>
      </c>
      <c r="FE39" t="e">
        <f>AND(Birds!DI3,"AAAAAHN796A=")</f>
        <v>#VALUE!</v>
      </c>
      <c r="FF39" t="e">
        <f>AND(Birds!DJ3,"AAAAAHN796E=")</f>
        <v>#VALUE!</v>
      </c>
      <c r="FG39" t="e">
        <f>AND(Birds!DK3,"AAAAAHN796I=")</f>
        <v>#VALUE!</v>
      </c>
      <c r="FH39" t="e">
        <f>AND(Birds!DL3,"AAAAAHN796M=")</f>
        <v>#VALUE!</v>
      </c>
      <c r="FI39" t="e">
        <f>AND(Birds!DM3,"AAAAAHN796Q=")</f>
        <v>#VALUE!</v>
      </c>
      <c r="FJ39" t="e">
        <f>AND(Birds!DN3,"AAAAAHN796U=")</f>
        <v>#VALUE!</v>
      </c>
      <c r="FK39" t="e">
        <f>AND(Birds!DO3,"AAAAAHN796Y=")</f>
        <v>#VALUE!</v>
      </c>
      <c r="FL39" t="e">
        <f>AND(Birds!DP3,"AAAAAHN796c=")</f>
        <v>#VALUE!</v>
      </c>
      <c r="FM39" t="e">
        <f>AND(Birds!DQ3,"AAAAAHN796g=")</f>
        <v>#VALUE!</v>
      </c>
      <c r="FN39" t="e">
        <f>AND(Birds!DR3,"AAAAAHN796k=")</f>
        <v>#VALUE!</v>
      </c>
      <c r="FO39" t="e">
        <f>AND(Birds!DS3,"AAAAAHN796o=")</f>
        <v>#VALUE!</v>
      </c>
      <c r="FP39" t="e">
        <f>AND(Birds!DT3,"AAAAAHN796s=")</f>
        <v>#VALUE!</v>
      </c>
      <c r="FQ39" t="e">
        <f>AND(Birds!DU3,"AAAAAHN796w=")</f>
        <v>#VALUE!</v>
      </c>
      <c r="FR39" t="e">
        <f>AND(Birds!DV3,"AAAAAHN7960=")</f>
        <v>#VALUE!</v>
      </c>
      <c r="FS39" t="e">
        <f>AND(Birds!DW3,"AAAAAHN7964=")</f>
        <v>#VALUE!</v>
      </c>
      <c r="FT39" t="e">
        <f>AND(Birds!DX3,"AAAAAHN7968=")</f>
        <v>#VALUE!</v>
      </c>
      <c r="FU39" t="e">
        <f>AND(Birds!DY3,"AAAAAHN797A=")</f>
        <v>#VALUE!</v>
      </c>
      <c r="FV39" t="e">
        <f>AND(Birds!DZ3,"AAAAAHN797E=")</f>
        <v>#VALUE!</v>
      </c>
      <c r="FW39" t="e">
        <f>AND(Birds!EA3,"AAAAAHN797I=")</f>
        <v>#VALUE!</v>
      </c>
      <c r="FX39" t="e">
        <f>AND(Birds!EB3,"AAAAAHN797M=")</f>
        <v>#VALUE!</v>
      </c>
      <c r="FY39" t="e">
        <f>AND(Birds!EC3,"AAAAAHN797Q=")</f>
        <v>#VALUE!</v>
      </c>
      <c r="FZ39" t="e">
        <f>AND(Birds!ED3,"AAAAAHN797U=")</f>
        <v>#VALUE!</v>
      </c>
      <c r="GA39" t="e">
        <f>AND(Birds!EE3,"AAAAAHN797Y=")</f>
        <v>#VALUE!</v>
      </c>
      <c r="GB39" t="e">
        <f>AND(Birds!EF3,"AAAAAHN797c=")</f>
        <v>#VALUE!</v>
      </c>
      <c r="GC39" t="e">
        <f>AND(Birds!EG3,"AAAAAHN797g=")</f>
        <v>#VALUE!</v>
      </c>
      <c r="GD39" t="e">
        <f>AND(Birds!EH3,"AAAAAHN797k=")</f>
        <v>#VALUE!</v>
      </c>
      <c r="GE39" t="e">
        <f>AND(Birds!EI3,"AAAAAHN797o=")</f>
        <v>#VALUE!</v>
      </c>
      <c r="GF39" t="e">
        <f>AND(Birds!EJ3,"AAAAAHN797s=")</f>
        <v>#VALUE!</v>
      </c>
      <c r="GG39" t="e">
        <f>AND(Birds!EK3,"AAAAAHN797w=")</f>
        <v>#VALUE!</v>
      </c>
      <c r="GH39" t="e">
        <f>AND(Birds!EL3,"AAAAAHN7970=")</f>
        <v>#VALUE!</v>
      </c>
      <c r="GI39" t="e">
        <f>AND(Birds!EM3,"AAAAAHN7974=")</f>
        <v>#VALUE!</v>
      </c>
      <c r="GJ39" t="e">
        <f>AND(Birds!EN3,"AAAAAHN7978=")</f>
        <v>#VALUE!</v>
      </c>
      <c r="GK39" t="e">
        <f>AND(Birds!EO3,"AAAAAHN798A=")</f>
        <v>#VALUE!</v>
      </c>
      <c r="GL39" t="e">
        <f>AND(Birds!EP3,"AAAAAHN798E=")</f>
        <v>#VALUE!</v>
      </c>
      <c r="GM39" t="e">
        <f>AND(Birds!EQ3,"AAAAAHN798I=")</f>
        <v>#VALUE!</v>
      </c>
      <c r="GN39" t="e">
        <f>AND(Birds!ER3,"AAAAAHN798M=")</f>
        <v>#VALUE!</v>
      </c>
      <c r="GO39" t="e">
        <f>AND(Birds!ES3,"AAAAAHN798Q=")</f>
        <v>#VALUE!</v>
      </c>
      <c r="GP39" t="e">
        <f>AND(Birds!ET3,"AAAAAHN798U=")</f>
        <v>#VALUE!</v>
      </c>
      <c r="GQ39" t="e">
        <f>AND(Birds!EU3,"AAAAAHN798Y=")</f>
        <v>#VALUE!</v>
      </c>
      <c r="GR39" t="e">
        <f>AND(Birds!EV3,"AAAAAHN798c=")</f>
        <v>#VALUE!</v>
      </c>
      <c r="GS39" t="e">
        <f>AND(Birds!EW3,"AAAAAHN798g=")</f>
        <v>#VALUE!</v>
      </c>
      <c r="GT39" t="e">
        <f>AND(Birds!EX3,"AAAAAHN798k=")</f>
        <v>#VALUE!</v>
      </c>
      <c r="GU39" t="e">
        <f>AND(Birds!EY3,"AAAAAHN798o=")</f>
        <v>#VALUE!</v>
      </c>
      <c r="GV39" t="e">
        <f>AND(Birds!EZ3,"AAAAAHN798s=")</f>
        <v>#VALUE!</v>
      </c>
      <c r="GW39" t="e">
        <f>AND(Birds!FA3,"AAAAAHN798w=")</f>
        <v>#VALUE!</v>
      </c>
      <c r="GX39" t="e">
        <f>AND(Birds!FB3,"AAAAAHN7980=")</f>
        <v>#VALUE!</v>
      </c>
      <c r="GY39" t="e">
        <f>AND(Birds!FC3,"AAAAAHN7984=")</f>
        <v>#VALUE!</v>
      </c>
      <c r="GZ39" t="e">
        <f>AND(Birds!FD3,"AAAAAHN7988=")</f>
        <v>#VALUE!</v>
      </c>
      <c r="HA39" t="e">
        <f>AND(Birds!FE3,"AAAAAHN799A=")</f>
        <v>#VALUE!</v>
      </c>
      <c r="HB39" t="e">
        <f>AND(Birds!FF3,"AAAAAHN799E=")</f>
        <v>#VALUE!</v>
      </c>
      <c r="HC39" t="e">
        <f>AND(Birds!FG3,"AAAAAHN799I=")</f>
        <v>#VALUE!</v>
      </c>
      <c r="HD39" t="e">
        <f>AND(Birds!FH3,"AAAAAHN799M=")</f>
        <v>#VALUE!</v>
      </c>
      <c r="HE39" t="e">
        <f>AND(Birds!FI3,"AAAAAHN799Q=")</f>
        <v>#VALUE!</v>
      </c>
      <c r="HF39" t="e">
        <f>AND(Birds!FJ3,"AAAAAHN799U=")</f>
        <v>#VALUE!</v>
      </c>
      <c r="HG39" t="e">
        <f>AND(Birds!FK3,"AAAAAHN799Y=")</f>
        <v>#VALUE!</v>
      </c>
      <c r="HH39" t="e">
        <f>AND(Birds!FL3,"AAAAAHN799c=")</f>
        <v>#VALUE!</v>
      </c>
      <c r="HI39" t="e">
        <f>AND(Birds!FM3,"AAAAAHN799g=")</f>
        <v>#VALUE!</v>
      </c>
      <c r="HJ39" t="e">
        <f>AND(Birds!FN3,"AAAAAHN799k=")</f>
        <v>#VALUE!</v>
      </c>
      <c r="HK39" t="e">
        <f>AND(Birds!FO3,"AAAAAHN799o=")</f>
        <v>#VALUE!</v>
      </c>
      <c r="HL39" t="e">
        <f>AND(Birds!FP3,"AAAAAHN799s=")</f>
        <v>#VALUE!</v>
      </c>
      <c r="HM39" t="e">
        <f>AND(Birds!FQ3,"AAAAAHN799w=")</f>
        <v>#VALUE!</v>
      </c>
      <c r="HN39" t="e">
        <f>AND(Birds!FR3,"AAAAAHN7990=")</f>
        <v>#VALUE!</v>
      </c>
      <c r="HO39" t="e">
        <f>AND(Birds!FS3,"AAAAAHN7994=")</f>
        <v>#VALUE!</v>
      </c>
      <c r="HP39" t="e">
        <f>AND(Birds!FT3,"AAAAAHN7998=")</f>
        <v>#VALUE!</v>
      </c>
      <c r="HQ39" t="e">
        <f>AND(Birds!FU3,"AAAAAHN79+A=")</f>
        <v>#VALUE!</v>
      </c>
      <c r="HR39" t="e">
        <f>AND(Birds!FV3,"AAAAAHN79+E=")</f>
        <v>#VALUE!</v>
      </c>
      <c r="HS39" t="e">
        <f>AND(Birds!FW3,"AAAAAHN79+I=")</f>
        <v>#VALUE!</v>
      </c>
      <c r="HT39" t="e">
        <f>AND(Birds!FX3,"AAAAAHN79+M=")</f>
        <v>#VALUE!</v>
      </c>
      <c r="HU39" t="e">
        <f>AND(Birds!FY3,"AAAAAHN79+Q=")</f>
        <v>#VALUE!</v>
      </c>
      <c r="HV39" t="e">
        <f>AND(Birds!FZ3,"AAAAAHN79+U=")</f>
        <v>#VALUE!</v>
      </c>
      <c r="HW39" t="e">
        <f>AND(Birds!GA3,"AAAAAHN79+Y=")</f>
        <v>#VALUE!</v>
      </c>
      <c r="HX39" t="e">
        <f>AND(Birds!GB3,"AAAAAHN79+c=")</f>
        <v>#VALUE!</v>
      </c>
      <c r="HY39" t="e">
        <f>AND(Birds!GC3,"AAAAAHN79+g=")</f>
        <v>#VALUE!</v>
      </c>
      <c r="HZ39" t="e">
        <f>AND(Birds!GD3,"AAAAAHN79+k=")</f>
        <v>#VALUE!</v>
      </c>
      <c r="IA39" t="e">
        <f>AND(Birds!GE3,"AAAAAHN79+o=")</f>
        <v>#VALUE!</v>
      </c>
      <c r="IB39" t="e">
        <f>AND(Birds!GF3,"AAAAAHN79+s=")</f>
        <v>#VALUE!</v>
      </c>
      <c r="IC39" t="e">
        <f>AND(Birds!GG3,"AAAAAHN79+w=")</f>
        <v>#VALUE!</v>
      </c>
      <c r="ID39" t="e">
        <f>AND(Birds!GH3,"AAAAAHN79+0=")</f>
        <v>#VALUE!</v>
      </c>
      <c r="IE39" t="e">
        <f>AND(Birds!GI3,"AAAAAHN79+4=")</f>
        <v>#VALUE!</v>
      </c>
      <c r="IF39" t="e">
        <f>AND(Birds!GJ3,"AAAAAHN79+8=")</f>
        <v>#VALUE!</v>
      </c>
      <c r="IG39" t="e">
        <f>AND(Birds!GK3,"AAAAAHN79/A=")</f>
        <v>#VALUE!</v>
      </c>
      <c r="IH39" t="e">
        <f>AND(Birds!GL3,"AAAAAHN79/E=")</f>
        <v>#VALUE!</v>
      </c>
      <c r="II39" t="e">
        <f>AND(Birds!GM3,"AAAAAHN79/I=")</f>
        <v>#VALUE!</v>
      </c>
      <c r="IJ39">
        <f>IF(Birds!4:4,"AAAAAHN79/M=",0)</f>
        <v>0</v>
      </c>
      <c r="IK39" t="e">
        <f>AND(Birds!A4,"AAAAAHN79/Q=")</f>
        <v>#VALUE!</v>
      </c>
      <c r="IL39" t="e">
        <f>AND(Birds!B4,"AAAAAHN79/U=")</f>
        <v>#VALUE!</v>
      </c>
      <c r="IM39" t="e">
        <f>AND(Birds!C4,"AAAAAHN79/Y=")</f>
        <v>#VALUE!</v>
      </c>
      <c r="IN39" t="e">
        <f>AND(Birds!D4,"AAAAAHN79/c=")</f>
        <v>#VALUE!</v>
      </c>
      <c r="IO39" t="e">
        <f>AND(Birds!E4,"AAAAAHN79/g=")</f>
        <v>#VALUE!</v>
      </c>
      <c r="IP39" t="e">
        <f>AND(Birds!F4,"AAAAAHN79/k=")</f>
        <v>#VALUE!</v>
      </c>
      <c r="IQ39" t="e">
        <f>AND(Birds!G4,"AAAAAHN79/o=")</f>
        <v>#VALUE!</v>
      </c>
      <c r="IR39" t="e">
        <f>AND(Birds!H4,"AAAAAHN79/s=")</f>
        <v>#VALUE!</v>
      </c>
      <c r="IS39" t="e">
        <f>AND(Birds!I4,"AAAAAHN79/w=")</f>
        <v>#VALUE!</v>
      </c>
      <c r="IT39" t="e">
        <f>AND(Birds!J4,"AAAAAHN79/0=")</f>
        <v>#VALUE!</v>
      </c>
      <c r="IU39" t="e">
        <f>AND(Birds!K4,"AAAAAHN79/4=")</f>
        <v>#VALUE!</v>
      </c>
      <c r="IV39" t="e">
        <f>AND(Birds!L4,"AAAAAHN79/8=")</f>
        <v>#VALUE!</v>
      </c>
    </row>
    <row r="40" spans="1:256">
      <c r="A40" t="e">
        <f>AND(Birds!M4,"AAAAAD7ymwA=")</f>
        <v>#VALUE!</v>
      </c>
      <c r="B40" t="e">
        <f>AND(Birds!N4,"AAAAAD7ymwE=")</f>
        <v>#VALUE!</v>
      </c>
      <c r="C40" t="e">
        <f>AND(Birds!O4,"AAAAAD7ymwI=")</f>
        <v>#VALUE!</v>
      </c>
      <c r="D40" t="e">
        <f>AND(Birds!P4,"AAAAAD7ymwM=")</f>
        <v>#VALUE!</v>
      </c>
      <c r="E40" t="e">
        <f>AND(Birds!Q4,"AAAAAD7ymwQ=")</f>
        <v>#VALUE!</v>
      </c>
      <c r="F40" t="e">
        <f>AND(Birds!R4,"AAAAAD7ymwU=")</f>
        <v>#VALUE!</v>
      </c>
      <c r="G40" t="e">
        <f>AND(Birds!S4,"AAAAAD7ymwY=")</f>
        <v>#VALUE!</v>
      </c>
      <c r="H40" t="e">
        <f>AND(Birds!T4,"AAAAAD7ymwc=")</f>
        <v>#VALUE!</v>
      </c>
      <c r="I40" t="e">
        <f>AND(Birds!U4,"AAAAAD7ymwg=")</f>
        <v>#VALUE!</v>
      </c>
      <c r="J40" t="e">
        <f>AND(Birds!V4,"AAAAAD7ymwk=")</f>
        <v>#VALUE!</v>
      </c>
      <c r="K40" t="e">
        <f>AND(Birds!W4,"AAAAAD7ymwo=")</f>
        <v>#VALUE!</v>
      </c>
      <c r="L40" t="e">
        <f>AND(Birds!X4,"AAAAAD7ymws=")</f>
        <v>#VALUE!</v>
      </c>
      <c r="M40" t="e">
        <f>AND(Birds!Y4,"AAAAAD7ymww=")</f>
        <v>#VALUE!</v>
      </c>
      <c r="N40" t="e">
        <f>AND(Birds!Z4,"AAAAAD7ymw0=")</f>
        <v>#VALUE!</v>
      </c>
      <c r="O40" t="e">
        <f>AND(Birds!AA4,"AAAAAD7ymw4=")</f>
        <v>#VALUE!</v>
      </c>
      <c r="P40" t="e">
        <f>AND(Birds!AB4,"AAAAAD7ymw8=")</f>
        <v>#VALUE!</v>
      </c>
      <c r="Q40" t="e">
        <f>AND(Birds!AC4,"AAAAAD7ymxA=")</f>
        <v>#VALUE!</v>
      </c>
      <c r="R40" t="e">
        <f>AND(Birds!AD4,"AAAAAD7ymxE=")</f>
        <v>#VALUE!</v>
      </c>
      <c r="S40" t="e">
        <f>AND(Birds!AE4,"AAAAAD7ymxI=")</f>
        <v>#VALUE!</v>
      </c>
      <c r="T40" t="e">
        <f>AND(Birds!AF4,"AAAAAD7ymxM=")</f>
        <v>#VALUE!</v>
      </c>
      <c r="U40" t="e">
        <f>AND(Birds!AG4,"AAAAAD7ymxQ=")</f>
        <v>#VALUE!</v>
      </c>
      <c r="V40" t="e">
        <f>AND(Birds!AH4,"AAAAAD7ymxU=")</f>
        <v>#VALUE!</v>
      </c>
      <c r="W40" t="e">
        <f>AND(Birds!AI4,"AAAAAD7ymxY=")</f>
        <v>#VALUE!</v>
      </c>
      <c r="X40" t="e">
        <f>AND(Birds!AJ4,"AAAAAD7ymxc=")</f>
        <v>#VALUE!</v>
      </c>
      <c r="Y40" t="e">
        <f>AND(Birds!AK4,"AAAAAD7ymxg=")</f>
        <v>#VALUE!</v>
      </c>
      <c r="Z40" t="e">
        <f>AND(Birds!AL4,"AAAAAD7ymxk=")</f>
        <v>#VALUE!</v>
      </c>
      <c r="AA40" t="e">
        <f>AND(Birds!AM4,"AAAAAD7ymxo=")</f>
        <v>#VALUE!</v>
      </c>
      <c r="AB40" t="e">
        <f>AND(Birds!AN4,"AAAAAD7ymxs=")</f>
        <v>#VALUE!</v>
      </c>
      <c r="AC40" t="e">
        <f>AND(Birds!AO4,"AAAAAD7ymxw=")</f>
        <v>#VALUE!</v>
      </c>
      <c r="AD40" t="e">
        <f>AND(Birds!AP4,"AAAAAD7ymx0=")</f>
        <v>#VALUE!</v>
      </c>
      <c r="AE40" t="e">
        <f>AND(Birds!AQ4,"AAAAAD7ymx4=")</f>
        <v>#VALUE!</v>
      </c>
      <c r="AF40" t="e">
        <f>AND(Birds!AR4,"AAAAAD7ymx8=")</f>
        <v>#VALUE!</v>
      </c>
      <c r="AG40" t="e">
        <f>AND(Birds!AS4,"AAAAAD7ymyA=")</f>
        <v>#VALUE!</v>
      </c>
      <c r="AH40" t="e">
        <f>AND(Birds!AT4,"AAAAAD7ymyE=")</f>
        <v>#VALUE!</v>
      </c>
      <c r="AI40" t="e">
        <f>AND(Birds!AU4,"AAAAAD7ymyI=")</f>
        <v>#VALUE!</v>
      </c>
      <c r="AJ40" t="e">
        <f>AND(Birds!AV4,"AAAAAD7ymyM=")</f>
        <v>#VALUE!</v>
      </c>
      <c r="AK40" t="e">
        <f>AND(Birds!AW4,"AAAAAD7ymyQ=")</f>
        <v>#VALUE!</v>
      </c>
      <c r="AL40" t="e">
        <f>AND(Birds!AX4,"AAAAAD7ymyU=")</f>
        <v>#VALUE!</v>
      </c>
      <c r="AM40" t="e">
        <f>AND(Birds!AY4,"AAAAAD7ymyY=")</f>
        <v>#VALUE!</v>
      </c>
      <c r="AN40" t="e">
        <f>AND(Birds!AZ4,"AAAAAD7ymyc=")</f>
        <v>#VALUE!</v>
      </c>
      <c r="AO40" t="e">
        <f>AND(Birds!BA4,"AAAAAD7ymyg=")</f>
        <v>#VALUE!</v>
      </c>
      <c r="AP40" t="e">
        <f>AND(Birds!BB4,"AAAAAD7ymyk=")</f>
        <v>#VALUE!</v>
      </c>
      <c r="AQ40" t="e">
        <f>AND(Birds!BC4,"AAAAAD7ymyo=")</f>
        <v>#VALUE!</v>
      </c>
      <c r="AR40" t="e">
        <f>AND(Birds!BD4,"AAAAAD7ymys=")</f>
        <v>#VALUE!</v>
      </c>
      <c r="AS40" t="e">
        <f>AND(Birds!BE4,"AAAAAD7ymyw=")</f>
        <v>#VALUE!</v>
      </c>
      <c r="AT40" t="e">
        <f>AND(Birds!BF4,"AAAAAD7ymy0=")</f>
        <v>#VALUE!</v>
      </c>
      <c r="AU40" t="e">
        <f>AND(Birds!BG4,"AAAAAD7ymy4=")</f>
        <v>#VALUE!</v>
      </c>
      <c r="AV40" t="e">
        <f>AND(Birds!BH4,"AAAAAD7ymy8=")</f>
        <v>#VALUE!</v>
      </c>
      <c r="AW40" t="e">
        <f>AND(Birds!BI4,"AAAAAD7ymzA=")</f>
        <v>#VALUE!</v>
      </c>
      <c r="AX40" t="e">
        <f>AND(Birds!BJ4,"AAAAAD7ymzE=")</f>
        <v>#VALUE!</v>
      </c>
      <c r="AY40" t="e">
        <f>AND(Birds!BK4,"AAAAAD7ymzI=")</f>
        <v>#VALUE!</v>
      </c>
      <c r="AZ40" t="e">
        <f>AND(Birds!BL4,"AAAAAD7ymzM=")</f>
        <v>#VALUE!</v>
      </c>
      <c r="BA40" t="e">
        <f>AND(Birds!BM4,"AAAAAD7ymzQ=")</f>
        <v>#VALUE!</v>
      </c>
      <c r="BB40" t="e">
        <f>AND(Birds!BN4,"AAAAAD7ymzU=")</f>
        <v>#VALUE!</v>
      </c>
      <c r="BC40" t="e">
        <f>AND(Birds!BO4,"AAAAAD7ymzY=")</f>
        <v>#VALUE!</v>
      </c>
      <c r="BD40" t="e">
        <f>AND(Birds!BP4,"AAAAAD7ymzc=")</f>
        <v>#VALUE!</v>
      </c>
      <c r="BE40" t="e">
        <f>AND(Birds!BQ4,"AAAAAD7ymzg=")</f>
        <v>#VALUE!</v>
      </c>
      <c r="BF40" t="e">
        <f>AND(Birds!BR4,"AAAAAD7ymzk=")</f>
        <v>#VALUE!</v>
      </c>
      <c r="BG40" t="e">
        <f>AND(Birds!BS4,"AAAAAD7ymzo=")</f>
        <v>#VALUE!</v>
      </c>
      <c r="BH40" t="e">
        <f>AND(Birds!BT4,"AAAAAD7ymzs=")</f>
        <v>#VALUE!</v>
      </c>
      <c r="BI40" t="e">
        <f>AND(Birds!BU4,"AAAAAD7ymzw=")</f>
        <v>#VALUE!</v>
      </c>
      <c r="BJ40" t="e">
        <f>AND(Birds!BV4,"AAAAAD7ymz0=")</f>
        <v>#VALUE!</v>
      </c>
      <c r="BK40" t="e">
        <f>AND(Birds!BW4,"AAAAAD7ymz4=")</f>
        <v>#VALUE!</v>
      </c>
      <c r="BL40" t="e">
        <f>AND(Birds!BX4,"AAAAAD7ymz8=")</f>
        <v>#VALUE!</v>
      </c>
      <c r="BM40" t="e">
        <f>AND(Birds!BY4,"AAAAAD7ym0A=")</f>
        <v>#VALUE!</v>
      </c>
      <c r="BN40" t="e">
        <f>AND(Birds!BZ4,"AAAAAD7ym0E=")</f>
        <v>#VALUE!</v>
      </c>
      <c r="BO40" t="e">
        <f>AND(Birds!CA4,"AAAAAD7ym0I=")</f>
        <v>#VALUE!</v>
      </c>
      <c r="BP40" t="e">
        <f>AND(Birds!CB4,"AAAAAD7ym0M=")</f>
        <v>#VALUE!</v>
      </c>
      <c r="BQ40" t="e">
        <f>AND(Birds!CC4,"AAAAAD7ym0Q=")</f>
        <v>#VALUE!</v>
      </c>
      <c r="BR40" t="e">
        <f>AND(Birds!CD4,"AAAAAD7ym0U=")</f>
        <v>#VALUE!</v>
      </c>
      <c r="BS40" t="e">
        <f>AND(Birds!CE4,"AAAAAD7ym0Y=")</f>
        <v>#VALUE!</v>
      </c>
      <c r="BT40" t="e">
        <f>AND(Birds!CF4,"AAAAAD7ym0c=")</f>
        <v>#VALUE!</v>
      </c>
      <c r="BU40" t="e">
        <f>AND(Birds!CG4,"AAAAAD7ym0g=")</f>
        <v>#VALUE!</v>
      </c>
      <c r="BV40" t="e">
        <f>AND(Birds!CH4,"AAAAAD7ym0k=")</f>
        <v>#VALUE!</v>
      </c>
      <c r="BW40" t="e">
        <f>AND(Birds!CI4,"AAAAAD7ym0o=")</f>
        <v>#VALUE!</v>
      </c>
      <c r="BX40" t="e">
        <f>AND(Birds!CJ4,"AAAAAD7ym0s=")</f>
        <v>#VALUE!</v>
      </c>
      <c r="BY40" t="e">
        <f>AND(Birds!CK4,"AAAAAD7ym0w=")</f>
        <v>#VALUE!</v>
      </c>
      <c r="BZ40" t="e">
        <f>AND(Birds!CL4,"AAAAAD7ym00=")</f>
        <v>#VALUE!</v>
      </c>
      <c r="CA40" t="e">
        <f>AND(Birds!CM4,"AAAAAD7ym04=")</f>
        <v>#VALUE!</v>
      </c>
      <c r="CB40" t="e">
        <f>AND(Birds!CN4,"AAAAAD7ym08=")</f>
        <v>#VALUE!</v>
      </c>
      <c r="CC40" t="e">
        <f>AND(Birds!CO4,"AAAAAD7ym1A=")</f>
        <v>#VALUE!</v>
      </c>
      <c r="CD40" t="e">
        <f>AND(Birds!CP4,"AAAAAD7ym1E=")</f>
        <v>#VALUE!</v>
      </c>
      <c r="CE40" t="e">
        <f>AND(Birds!CQ4,"AAAAAD7ym1I=")</f>
        <v>#VALUE!</v>
      </c>
      <c r="CF40" t="e">
        <f>AND(Birds!CR4,"AAAAAD7ym1M=")</f>
        <v>#VALUE!</v>
      </c>
      <c r="CG40" t="e">
        <f>AND(Birds!CS4,"AAAAAD7ym1Q=")</f>
        <v>#VALUE!</v>
      </c>
      <c r="CH40" t="e">
        <f>AND(Birds!CT4,"AAAAAD7ym1U=")</f>
        <v>#VALUE!</v>
      </c>
      <c r="CI40" t="e">
        <f>AND(Birds!CU4,"AAAAAD7ym1Y=")</f>
        <v>#VALUE!</v>
      </c>
      <c r="CJ40" t="e">
        <f>AND(Birds!CV4,"AAAAAD7ym1c=")</f>
        <v>#VALUE!</v>
      </c>
      <c r="CK40" t="e">
        <f>AND(Birds!CW4,"AAAAAD7ym1g=")</f>
        <v>#VALUE!</v>
      </c>
      <c r="CL40" t="e">
        <f>AND(Birds!CX4,"AAAAAD7ym1k=")</f>
        <v>#VALUE!</v>
      </c>
      <c r="CM40" t="e">
        <f>AND(Birds!CY4,"AAAAAD7ym1o=")</f>
        <v>#VALUE!</v>
      </c>
      <c r="CN40" t="e">
        <f>AND(Birds!CZ4,"AAAAAD7ym1s=")</f>
        <v>#VALUE!</v>
      </c>
      <c r="CO40" t="e">
        <f>AND(Birds!DA4,"AAAAAD7ym1w=")</f>
        <v>#VALUE!</v>
      </c>
      <c r="CP40" t="e">
        <f>AND(Birds!DB4,"AAAAAD7ym10=")</f>
        <v>#VALUE!</v>
      </c>
      <c r="CQ40" t="e">
        <f>AND(Birds!DC4,"AAAAAD7ym14=")</f>
        <v>#VALUE!</v>
      </c>
      <c r="CR40" t="e">
        <f>AND(Birds!DD4,"AAAAAD7ym18=")</f>
        <v>#VALUE!</v>
      </c>
      <c r="CS40" t="e">
        <f>AND(Birds!DE4,"AAAAAD7ym2A=")</f>
        <v>#VALUE!</v>
      </c>
      <c r="CT40" t="e">
        <f>AND(Birds!DF4,"AAAAAD7ym2E=")</f>
        <v>#VALUE!</v>
      </c>
      <c r="CU40" t="e">
        <f>AND(Birds!DG4,"AAAAAD7ym2I=")</f>
        <v>#VALUE!</v>
      </c>
      <c r="CV40" t="e">
        <f>AND(Birds!DH4,"AAAAAD7ym2M=")</f>
        <v>#VALUE!</v>
      </c>
      <c r="CW40" t="e">
        <f>AND(Birds!DI4,"AAAAAD7ym2Q=")</f>
        <v>#VALUE!</v>
      </c>
      <c r="CX40" t="e">
        <f>AND(Birds!DJ4,"AAAAAD7ym2U=")</f>
        <v>#VALUE!</v>
      </c>
      <c r="CY40" t="e">
        <f>AND(Birds!DK4,"AAAAAD7ym2Y=")</f>
        <v>#VALUE!</v>
      </c>
      <c r="CZ40" t="e">
        <f>AND(Birds!DL4,"AAAAAD7ym2c=")</f>
        <v>#VALUE!</v>
      </c>
      <c r="DA40" t="e">
        <f>AND(Birds!DM4,"AAAAAD7ym2g=")</f>
        <v>#VALUE!</v>
      </c>
      <c r="DB40" t="e">
        <f>AND(Birds!DN4,"AAAAAD7ym2k=")</f>
        <v>#VALUE!</v>
      </c>
      <c r="DC40" t="e">
        <f>AND(Birds!DO4,"AAAAAD7ym2o=")</f>
        <v>#VALUE!</v>
      </c>
      <c r="DD40" t="e">
        <f>AND(Birds!DP4,"AAAAAD7ym2s=")</f>
        <v>#VALUE!</v>
      </c>
      <c r="DE40" t="e">
        <f>AND(Birds!DQ4,"AAAAAD7ym2w=")</f>
        <v>#VALUE!</v>
      </c>
      <c r="DF40" t="e">
        <f>AND(Birds!DR4,"AAAAAD7ym20=")</f>
        <v>#VALUE!</v>
      </c>
      <c r="DG40" t="e">
        <f>AND(Birds!DS4,"AAAAAD7ym24=")</f>
        <v>#VALUE!</v>
      </c>
      <c r="DH40" t="e">
        <f>AND(Birds!DT4,"AAAAAD7ym28=")</f>
        <v>#VALUE!</v>
      </c>
      <c r="DI40" t="e">
        <f>AND(Birds!DU4,"AAAAAD7ym3A=")</f>
        <v>#VALUE!</v>
      </c>
      <c r="DJ40" t="e">
        <f>AND(Birds!DV4,"AAAAAD7ym3E=")</f>
        <v>#VALUE!</v>
      </c>
      <c r="DK40" t="e">
        <f>AND(Birds!DW4,"AAAAAD7ym3I=")</f>
        <v>#VALUE!</v>
      </c>
      <c r="DL40" t="e">
        <f>AND(Birds!DX4,"AAAAAD7ym3M=")</f>
        <v>#VALUE!</v>
      </c>
      <c r="DM40" t="e">
        <f>AND(Birds!DY4,"AAAAAD7ym3Q=")</f>
        <v>#VALUE!</v>
      </c>
      <c r="DN40" t="e">
        <f>AND(Birds!DZ4,"AAAAAD7ym3U=")</f>
        <v>#VALUE!</v>
      </c>
      <c r="DO40" t="e">
        <f>AND(Birds!EA4,"AAAAAD7ym3Y=")</f>
        <v>#VALUE!</v>
      </c>
      <c r="DP40" t="e">
        <f>AND(Birds!EB4,"AAAAAD7ym3c=")</f>
        <v>#VALUE!</v>
      </c>
      <c r="DQ40" t="e">
        <f>AND(Birds!EC4,"AAAAAD7ym3g=")</f>
        <v>#VALUE!</v>
      </c>
      <c r="DR40" t="e">
        <f>AND(Birds!ED4,"AAAAAD7ym3k=")</f>
        <v>#VALUE!</v>
      </c>
      <c r="DS40" t="e">
        <f>AND(Birds!EE4,"AAAAAD7ym3o=")</f>
        <v>#VALUE!</v>
      </c>
      <c r="DT40" t="e">
        <f>AND(Birds!EF4,"AAAAAD7ym3s=")</f>
        <v>#VALUE!</v>
      </c>
      <c r="DU40" t="e">
        <f>AND(Birds!EG4,"AAAAAD7ym3w=")</f>
        <v>#VALUE!</v>
      </c>
      <c r="DV40" t="e">
        <f>AND(Birds!EH4,"AAAAAD7ym30=")</f>
        <v>#VALUE!</v>
      </c>
      <c r="DW40" t="e">
        <f>AND(Birds!EI4,"AAAAAD7ym34=")</f>
        <v>#VALUE!</v>
      </c>
      <c r="DX40" t="e">
        <f>AND(Birds!EJ4,"AAAAAD7ym38=")</f>
        <v>#VALUE!</v>
      </c>
      <c r="DY40" t="e">
        <f>AND(Birds!EK4,"AAAAAD7ym4A=")</f>
        <v>#VALUE!</v>
      </c>
      <c r="DZ40" t="e">
        <f>AND(Birds!EL4,"AAAAAD7ym4E=")</f>
        <v>#VALUE!</v>
      </c>
      <c r="EA40" t="e">
        <f>AND(Birds!EM4,"AAAAAD7ym4I=")</f>
        <v>#VALUE!</v>
      </c>
      <c r="EB40" t="e">
        <f>AND(Birds!EN4,"AAAAAD7ym4M=")</f>
        <v>#VALUE!</v>
      </c>
      <c r="EC40" t="e">
        <f>AND(Birds!EO4,"AAAAAD7ym4Q=")</f>
        <v>#VALUE!</v>
      </c>
      <c r="ED40" t="e">
        <f>AND(Birds!EP4,"AAAAAD7ym4U=")</f>
        <v>#VALUE!</v>
      </c>
      <c r="EE40" t="e">
        <f>AND(Birds!EQ4,"AAAAAD7ym4Y=")</f>
        <v>#VALUE!</v>
      </c>
      <c r="EF40" t="e">
        <f>AND(Birds!ER4,"AAAAAD7ym4c=")</f>
        <v>#VALUE!</v>
      </c>
      <c r="EG40" t="e">
        <f>AND(Birds!ES4,"AAAAAD7ym4g=")</f>
        <v>#VALUE!</v>
      </c>
      <c r="EH40" t="e">
        <f>AND(Birds!ET4,"AAAAAD7ym4k=")</f>
        <v>#VALUE!</v>
      </c>
      <c r="EI40" t="e">
        <f>AND(Birds!EU4,"AAAAAD7ym4o=")</f>
        <v>#VALUE!</v>
      </c>
      <c r="EJ40" t="e">
        <f>AND(Birds!EV4,"AAAAAD7ym4s=")</f>
        <v>#VALUE!</v>
      </c>
      <c r="EK40" t="e">
        <f>AND(Birds!EW4,"AAAAAD7ym4w=")</f>
        <v>#VALUE!</v>
      </c>
      <c r="EL40" t="e">
        <f>AND(Birds!EX4,"AAAAAD7ym40=")</f>
        <v>#VALUE!</v>
      </c>
      <c r="EM40" t="e">
        <f>AND(Birds!EY4,"AAAAAD7ym44=")</f>
        <v>#VALUE!</v>
      </c>
      <c r="EN40" t="e">
        <f>AND(Birds!EZ4,"AAAAAD7ym48=")</f>
        <v>#VALUE!</v>
      </c>
      <c r="EO40" t="e">
        <f>AND(Birds!FA4,"AAAAAD7ym5A=")</f>
        <v>#VALUE!</v>
      </c>
      <c r="EP40" t="e">
        <f>AND(Birds!FB4,"AAAAAD7ym5E=")</f>
        <v>#VALUE!</v>
      </c>
      <c r="EQ40" t="e">
        <f>AND(Birds!FC4,"AAAAAD7ym5I=")</f>
        <v>#VALUE!</v>
      </c>
      <c r="ER40" t="e">
        <f>AND(Birds!FD4,"AAAAAD7ym5M=")</f>
        <v>#VALUE!</v>
      </c>
      <c r="ES40" t="e">
        <f>AND(Birds!FE4,"AAAAAD7ym5Q=")</f>
        <v>#VALUE!</v>
      </c>
      <c r="ET40" t="e">
        <f>AND(Birds!FF4,"AAAAAD7ym5U=")</f>
        <v>#VALUE!</v>
      </c>
      <c r="EU40" t="e">
        <f>AND(Birds!FG4,"AAAAAD7ym5Y=")</f>
        <v>#VALUE!</v>
      </c>
      <c r="EV40" t="e">
        <f>AND(Birds!FH4,"AAAAAD7ym5c=")</f>
        <v>#VALUE!</v>
      </c>
      <c r="EW40" t="e">
        <f>AND(Birds!FI4,"AAAAAD7ym5g=")</f>
        <v>#VALUE!</v>
      </c>
      <c r="EX40" t="e">
        <f>AND(Birds!FJ4,"AAAAAD7ym5k=")</f>
        <v>#VALUE!</v>
      </c>
      <c r="EY40" t="e">
        <f>AND(Birds!FK4,"AAAAAD7ym5o=")</f>
        <v>#VALUE!</v>
      </c>
      <c r="EZ40" t="e">
        <f>AND(Birds!FL4,"AAAAAD7ym5s=")</f>
        <v>#VALUE!</v>
      </c>
      <c r="FA40" t="e">
        <f>AND(Birds!FM4,"AAAAAD7ym5w=")</f>
        <v>#VALUE!</v>
      </c>
      <c r="FB40" t="e">
        <f>AND(Birds!FN4,"AAAAAD7ym50=")</f>
        <v>#VALUE!</v>
      </c>
      <c r="FC40" t="e">
        <f>AND(Birds!FO4,"AAAAAD7ym54=")</f>
        <v>#VALUE!</v>
      </c>
      <c r="FD40" t="e">
        <f>AND(Birds!FP4,"AAAAAD7ym58=")</f>
        <v>#VALUE!</v>
      </c>
      <c r="FE40" t="e">
        <f>AND(Birds!FQ4,"AAAAAD7ym6A=")</f>
        <v>#VALUE!</v>
      </c>
      <c r="FF40" t="e">
        <f>AND(Birds!FR4,"AAAAAD7ym6E=")</f>
        <v>#VALUE!</v>
      </c>
      <c r="FG40" t="e">
        <f>AND(Birds!FS4,"AAAAAD7ym6I=")</f>
        <v>#VALUE!</v>
      </c>
      <c r="FH40" t="e">
        <f>AND(Birds!FT4,"AAAAAD7ym6M=")</f>
        <v>#VALUE!</v>
      </c>
      <c r="FI40" t="e">
        <f>AND(Birds!FU4,"AAAAAD7ym6Q=")</f>
        <v>#VALUE!</v>
      </c>
      <c r="FJ40" t="e">
        <f>AND(Birds!FV4,"AAAAAD7ym6U=")</f>
        <v>#VALUE!</v>
      </c>
      <c r="FK40" t="e">
        <f>AND(Birds!FW4,"AAAAAD7ym6Y=")</f>
        <v>#VALUE!</v>
      </c>
      <c r="FL40" t="e">
        <f>AND(Birds!FX4,"AAAAAD7ym6c=")</f>
        <v>#VALUE!</v>
      </c>
      <c r="FM40" t="e">
        <f>AND(Birds!FY4,"AAAAAD7ym6g=")</f>
        <v>#VALUE!</v>
      </c>
      <c r="FN40" t="e">
        <f>AND(Birds!FZ4,"AAAAAD7ym6k=")</f>
        <v>#VALUE!</v>
      </c>
      <c r="FO40" t="e">
        <f>AND(Birds!GA4,"AAAAAD7ym6o=")</f>
        <v>#VALUE!</v>
      </c>
      <c r="FP40" t="e">
        <f>AND(Birds!GB4,"AAAAAD7ym6s=")</f>
        <v>#VALUE!</v>
      </c>
      <c r="FQ40" t="e">
        <f>AND(Birds!GC4,"AAAAAD7ym6w=")</f>
        <v>#VALUE!</v>
      </c>
      <c r="FR40" t="e">
        <f>AND(Birds!GD4,"AAAAAD7ym60=")</f>
        <v>#VALUE!</v>
      </c>
      <c r="FS40" t="e">
        <f>AND(Birds!GE4,"AAAAAD7ym64=")</f>
        <v>#VALUE!</v>
      </c>
      <c r="FT40" t="e">
        <f>AND(Birds!GF4,"AAAAAD7ym68=")</f>
        <v>#VALUE!</v>
      </c>
      <c r="FU40" t="e">
        <f>AND(Birds!GG4,"AAAAAD7ym7A=")</f>
        <v>#VALUE!</v>
      </c>
      <c r="FV40" t="e">
        <f>AND(Birds!GH4,"AAAAAD7ym7E=")</f>
        <v>#VALUE!</v>
      </c>
      <c r="FW40" t="e">
        <f>AND(Birds!GI4,"AAAAAD7ym7I=")</f>
        <v>#VALUE!</v>
      </c>
      <c r="FX40" t="e">
        <f>AND(Birds!GJ4,"AAAAAD7ym7M=")</f>
        <v>#VALUE!</v>
      </c>
      <c r="FY40" t="e">
        <f>AND(Birds!GK4,"AAAAAD7ym7Q=")</f>
        <v>#VALUE!</v>
      </c>
      <c r="FZ40" t="e">
        <f>AND(Birds!GL4,"AAAAAD7ym7U=")</f>
        <v>#VALUE!</v>
      </c>
      <c r="GA40" t="e">
        <f>AND(Birds!GM4,"AAAAAD7ym7Y=")</f>
        <v>#VALUE!</v>
      </c>
      <c r="GB40">
        <f>IF(Birds!5:5,"AAAAAD7ym7c=",0)</f>
        <v>0</v>
      </c>
      <c r="GC40" t="e">
        <f>AND(Birds!A5,"AAAAAD7ym7g=")</f>
        <v>#VALUE!</v>
      </c>
      <c r="GD40" t="e">
        <f>AND(Birds!B5,"AAAAAD7ym7k=")</f>
        <v>#VALUE!</v>
      </c>
      <c r="GE40" t="e">
        <f>AND(Birds!C5,"AAAAAD7ym7o=")</f>
        <v>#VALUE!</v>
      </c>
      <c r="GF40" t="e">
        <f>AND(Birds!D5,"AAAAAD7ym7s=")</f>
        <v>#VALUE!</v>
      </c>
      <c r="GG40" t="e">
        <f>AND(Birds!E5,"AAAAAD7ym7w=")</f>
        <v>#VALUE!</v>
      </c>
      <c r="GH40" t="e">
        <f>AND(Birds!F5,"AAAAAD7ym70=")</f>
        <v>#VALUE!</v>
      </c>
      <c r="GI40" t="e">
        <f>AND(Birds!G5,"AAAAAD7ym74=")</f>
        <v>#VALUE!</v>
      </c>
      <c r="GJ40" t="e">
        <f>AND(Birds!H5,"AAAAAD7ym78=")</f>
        <v>#VALUE!</v>
      </c>
      <c r="GK40" t="e">
        <f>AND(Birds!I5,"AAAAAD7ym8A=")</f>
        <v>#VALUE!</v>
      </c>
      <c r="GL40" t="e">
        <f>AND(Birds!J5,"AAAAAD7ym8E=")</f>
        <v>#VALUE!</v>
      </c>
      <c r="GM40" t="e">
        <f>AND(Birds!K5,"AAAAAD7ym8I=")</f>
        <v>#VALUE!</v>
      </c>
      <c r="GN40" t="e">
        <f>AND(Birds!L5,"AAAAAD7ym8M=")</f>
        <v>#VALUE!</v>
      </c>
      <c r="GO40" t="e">
        <f>AND(Birds!M5,"AAAAAD7ym8Q=")</f>
        <v>#VALUE!</v>
      </c>
      <c r="GP40" t="e">
        <f>AND(Birds!N5,"AAAAAD7ym8U=")</f>
        <v>#VALUE!</v>
      </c>
      <c r="GQ40" t="e">
        <f>AND(Birds!O5,"AAAAAD7ym8Y=")</f>
        <v>#VALUE!</v>
      </c>
      <c r="GR40" t="e">
        <f>AND(Birds!P5,"AAAAAD7ym8c=")</f>
        <v>#VALUE!</v>
      </c>
      <c r="GS40" t="e">
        <f>AND(Birds!Q5,"AAAAAD7ym8g=")</f>
        <v>#VALUE!</v>
      </c>
      <c r="GT40" t="e">
        <f>AND(Birds!R5,"AAAAAD7ym8k=")</f>
        <v>#VALUE!</v>
      </c>
      <c r="GU40" t="e">
        <f>AND(Birds!S5,"AAAAAD7ym8o=")</f>
        <v>#VALUE!</v>
      </c>
      <c r="GV40" t="e">
        <f>AND(Birds!T5,"AAAAAD7ym8s=")</f>
        <v>#VALUE!</v>
      </c>
      <c r="GW40" t="e">
        <f>AND(Birds!U5,"AAAAAD7ym8w=")</f>
        <v>#VALUE!</v>
      </c>
      <c r="GX40" t="e">
        <f>AND(Birds!V5,"AAAAAD7ym80=")</f>
        <v>#VALUE!</v>
      </c>
      <c r="GY40" t="e">
        <f>AND(Birds!W5,"AAAAAD7ym84=")</f>
        <v>#VALUE!</v>
      </c>
      <c r="GZ40" t="e">
        <f>AND(Birds!X5,"AAAAAD7ym88=")</f>
        <v>#VALUE!</v>
      </c>
      <c r="HA40" t="e">
        <f>AND(Birds!Y5,"AAAAAD7ym9A=")</f>
        <v>#VALUE!</v>
      </c>
      <c r="HB40" t="e">
        <f>AND(Birds!Z5,"AAAAAD7ym9E=")</f>
        <v>#VALUE!</v>
      </c>
      <c r="HC40" t="e">
        <f>AND(Birds!AA5,"AAAAAD7ym9I=")</f>
        <v>#VALUE!</v>
      </c>
      <c r="HD40" t="e">
        <f>AND(Birds!AB5,"AAAAAD7ym9M=")</f>
        <v>#VALUE!</v>
      </c>
      <c r="HE40" t="e">
        <f>AND(Birds!AC5,"AAAAAD7ym9Q=")</f>
        <v>#VALUE!</v>
      </c>
      <c r="HF40" t="e">
        <f>AND(Birds!AD5,"AAAAAD7ym9U=")</f>
        <v>#VALUE!</v>
      </c>
      <c r="HG40" t="e">
        <f>AND(Birds!AE5,"AAAAAD7ym9Y=")</f>
        <v>#VALUE!</v>
      </c>
      <c r="HH40" t="e">
        <f>AND(Birds!AF5,"AAAAAD7ym9c=")</f>
        <v>#VALUE!</v>
      </c>
      <c r="HI40" t="e">
        <f>AND(Birds!AG5,"AAAAAD7ym9g=")</f>
        <v>#VALUE!</v>
      </c>
      <c r="HJ40" t="e">
        <f>AND(Birds!AH5,"AAAAAD7ym9k=")</f>
        <v>#VALUE!</v>
      </c>
      <c r="HK40" t="e">
        <f>AND(Birds!AI5,"AAAAAD7ym9o=")</f>
        <v>#VALUE!</v>
      </c>
      <c r="HL40" t="e">
        <f>AND(Birds!AJ5,"AAAAAD7ym9s=")</f>
        <v>#VALUE!</v>
      </c>
      <c r="HM40" t="e">
        <f>AND(Birds!AK5,"AAAAAD7ym9w=")</f>
        <v>#VALUE!</v>
      </c>
      <c r="HN40" t="e">
        <f>AND(Birds!AL5,"AAAAAD7ym90=")</f>
        <v>#VALUE!</v>
      </c>
      <c r="HO40" t="e">
        <f>AND(Birds!AM5,"AAAAAD7ym94=")</f>
        <v>#VALUE!</v>
      </c>
      <c r="HP40" t="e">
        <f>AND(Birds!AN5,"AAAAAD7ym98=")</f>
        <v>#VALUE!</v>
      </c>
      <c r="HQ40" t="e">
        <f>AND(Birds!AO5,"AAAAAD7ym+A=")</f>
        <v>#VALUE!</v>
      </c>
      <c r="HR40" t="e">
        <f>AND(Birds!AP5,"AAAAAD7ym+E=")</f>
        <v>#VALUE!</v>
      </c>
      <c r="HS40" t="e">
        <f>AND(Birds!AQ5,"AAAAAD7ym+I=")</f>
        <v>#VALUE!</v>
      </c>
      <c r="HT40" t="e">
        <f>AND(Birds!AR5,"AAAAAD7ym+M=")</f>
        <v>#VALUE!</v>
      </c>
      <c r="HU40" t="e">
        <f>AND(Birds!AS5,"AAAAAD7ym+Q=")</f>
        <v>#VALUE!</v>
      </c>
      <c r="HV40" t="e">
        <f>AND(Birds!AT5,"AAAAAD7ym+U=")</f>
        <v>#VALUE!</v>
      </c>
      <c r="HW40" t="e">
        <f>AND(Birds!AU5,"AAAAAD7ym+Y=")</f>
        <v>#VALUE!</v>
      </c>
      <c r="HX40" t="e">
        <f>AND(Birds!AV5,"AAAAAD7ym+c=")</f>
        <v>#VALUE!</v>
      </c>
      <c r="HY40" t="e">
        <f>AND(Birds!AW5,"AAAAAD7ym+g=")</f>
        <v>#VALUE!</v>
      </c>
      <c r="HZ40" t="e">
        <f>AND(Birds!AX5,"AAAAAD7ym+k=")</f>
        <v>#VALUE!</v>
      </c>
      <c r="IA40" t="e">
        <f>AND(Birds!AY5,"AAAAAD7ym+o=")</f>
        <v>#VALUE!</v>
      </c>
      <c r="IB40" t="e">
        <f>AND(Birds!AZ5,"AAAAAD7ym+s=")</f>
        <v>#VALUE!</v>
      </c>
      <c r="IC40" t="e">
        <f>AND(Birds!BA5,"AAAAAD7ym+w=")</f>
        <v>#VALUE!</v>
      </c>
      <c r="ID40" t="e">
        <f>AND(Birds!BB5,"AAAAAD7ym+0=")</f>
        <v>#VALUE!</v>
      </c>
      <c r="IE40" t="e">
        <f>AND(Birds!BC5,"AAAAAD7ym+4=")</f>
        <v>#VALUE!</v>
      </c>
      <c r="IF40" t="e">
        <f>AND(Birds!BD5,"AAAAAD7ym+8=")</f>
        <v>#VALUE!</v>
      </c>
      <c r="IG40" t="e">
        <f>AND(Birds!BE5,"AAAAAD7ym/A=")</f>
        <v>#VALUE!</v>
      </c>
      <c r="IH40" t="e">
        <f>AND(Birds!BF5,"AAAAAD7ym/E=")</f>
        <v>#VALUE!</v>
      </c>
      <c r="II40" t="e">
        <f>AND(Birds!BG5,"AAAAAD7ym/I=")</f>
        <v>#VALUE!</v>
      </c>
      <c r="IJ40" t="e">
        <f>AND(Birds!BH5,"AAAAAD7ym/M=")</f>
        <v>#VALUE!</v>
      </c>
      <c r="IK40" t="e">
        <f>AND(Birds!BI5,"AAAAAD7ym/Q=")</f>
        <v>#VALUE!</v>
      </c>
      <c r="IL40" t="e">
        <f>AND(Birds!BJ5,"AAAAAD7ym/U=")</f>
        <v>#VALUE!</v>
      </c>
      <c r="IM40" t="e">
        <f>AND(Birds!BK5,"AAAAAD7ym/Y=")</f>
        <v>#VALUE!</v>
      </c>
      <c r="IN40" t="e">
        <f>AND(Birds!BL5,"AAAAAD7ym/c=")</f>
        <v>#VALUE!</v>
      </c>
      <c r="IO40" t="e">
        <f>AND(Birds!BM5,"AAAAAD7ym/g=")</f>
        <v>#VALUE!</v>
      </c>
      <c r="IP40" t="e">
        <f>AND(Birds!BN5,"AAAAAD7ym/k=")</f>
        <v>#VALUE!</v>
      </c>
      <c r="IQ40" t="e">
        <f>AND(Birds!BO5,"AAAAAD7ym/o=")</f>
        <v>#VALUE!</v>
      </c>
      <c r="IR40" t="e">
        <f>AND(Birds!BP5,"AAAAAD7ym/s=")</f>
        <v>#VALUE!</v>
      </c>
      <c r="IS40" t="e">
        <f>AND(Birds!BQ5,"AAAAAD7ym/w=")</f>
        <v>#VALUE!</v>
      </c>
      <c r="IT40" t="e">
        <f>AND(Birds!BR5,"AAAAAD7ym/0=")</f>
        <v>#VALUE!</v>
      </c>
      <c r="IU40" t="e">
        <f>AND(Birds!BS5,"AAAAAD7ym/4=")</f>
        <v>#VALUE!</v>
      </c>
      <c r="IV40" t="e">
        <f>AND(Birds!BT5,"AAAAAD7ym/8=")</f>
        <v>#VALUE!</v>
      </c>
    </row>
    <row r="41" spans="1:256">
      <c r="A41" t="e">
        <f>AND(Birds!BU5,"AAAAAH69twA=")</f>
        <v>#VALUE!</v>
      </c>
      <c r="B41" t="e">
        <f>AND(Birds!BV5,"AAAAAH69twE=")</f>
        <v>#VALUE!</v>
      </c>
      <c r="C41" t="e">
        <f>AND(Birds!BW5,"AAAAAH69twI=")</f>
        <v>#VALUE!</v>
      </c>
      <c r="D41" t="e">
        <f>AND(Birds!BX5,"AAAAAH69twM=")</f>
        <v>#VALUE!</v>
      </c>
      <c r="E41" t="e">
        <f>AND(Birds!BY5,"AAAAAH69twQ=")</f>
        <v>#VALUE!</v>
      </c>
      <c r="F41" t="e">
        <f>AND(Birds!BZ5,"AAAAAH69twU=")</f>
        <v>#VALUE!</v>
      </c>
      <c r="G41" t="e">
        <f>AND(Birds!CA5,"AAAAAH69twY=")</f>
        <v>#VALUE!</v>
      </c>
      <c r="H41" t="e">
        <f>AND(Birds!CB5,"AAAAAH69twc=")</f>
        <v>#VALUE!</v>
      </c>
      <c r="I41" t="e">
        <f>AND(Birds!CC5,"AAAAAH69twg=")</f>
        <v>#VALUE!</v>
      </c>
      <c r="J41" t="e">
        <f>AND(Birds!CD5,"AAAAAH69twk=")</f>
        <v>#VALUE!</v>
      </c>
      <c r="K41" t="e">
        <f>AND(Birds!CE5,"AAAAAH69two=")</f>
        <v>#VALUE!</v>
      </c>
      <c r="L41" t="e">
        <f>AND(Birds!CF5,"AAAAAH69tws=")</f>
        <v>#VALUE!</v>
      </c>
      <c r="M41" t="e">
        <f>AND(Birds!CG5,"AAAAAH69tww=")</f>
        <v>#VALUE!</v>
      </c>
      <c r="N41" t="e">
        <f>AND(Birds!CH5,"AAAAAH69tw0=")</f>
        <v>#VALUE!</v>
      </c>
      <c r="O41" t="e">
        <f>AND(Birds!CI5,"AAAAAH69tw4=")</f>
        <v>#VALUE!</v>
      </c>
      <c r="P41" t="e">
        <f>AND(Birds!CJ5,"AAAAAH69tw8=")</f>
        <v>#VALUE!</v>
      </c>
      <c r="Q41" t="e">
        <f>AND(Birds!CK5,"AAAAAH69txA=")</f>
        <v>#VALUE!</v>
      </c>
      <c r="R41" t="e">
        <f>AND(Birds!CL5,"AAAAAH69txE=")</f>
        <v>#VALUE!</v>
      </c>
      <c r="S41" t="e">
        <f>AND(Birds!CM5,"AAAAAH69txI=")</f>
        <v>#VALUE!</v>
      </c>
      <c r="T41" t="e">
        <f>AND(Birds!CN5,"AAAAAH69txM=")</f>
        <v>#VALUE!</v>
      </c>
      <c r="U41" t="e">
        <f>AND(Birds!CO5,"AAAAAH69txQ=")</f>
        <v>#VALUE!</v>
      </c>
      <c r="V41" t="e">
        <f>AND(Birds!CP5,"AAAAAH69txU=")</f>
        <v>#VALUE!</v>
      </c>
      <c r="W41" t="e">
        <f>AND(Birds!CQ5,"AAAAAH69txY=")</f>
        <v>#VALUE!</v>
      </c>
      <c r="X41" t="e">
        <f>AND(Birds!CR5,"AAAAAH69txc=")</f>
        <v>#VALUE!</v>
      </c>
      <c r="Y41" t="e">
        <f>AND(Birds!CS5,"AAAAAH69txg=")</f>
        <v>#VALUE!</v>
      </c>
      <c r="Z41" t="e">
        <f>AND(Birds!CT5,"AAAAAH69txk=")</f>
        <v>#VALUE!</v>
      </c>
      <c r="AA41" t="e">
        <f>AND(Birds!CU5,"AAAAAH69txo=")</f>
        <v>#VALUE!</v>
      </c>
      <c r="AB41" t="e">
        <f>AND(Birds!CV5,"AAAAAH69txs=")</f>
        <v>#VALUE!</v>
      </c>
      <c r="AC41" t="e">
        <f>AND(Birds!CW5,"AAAAAH69txw=")</f>
        <v>#VALUE!</v>
      </c>
      <c r="AD41" t="e">
        <f>AND(Birds!CX5,"AAAAAH69tx0=")</f>
        <v>#VALUE!</v>
      </c>
      <c r="AE41" t="e">
        <f>AND(Birds!CY5,"AAAAAH69tx4=")</f>
        <v>#VALUE!</v>
      </c>
      <c r="AF41" t="e">
        <f>AND(Birds!CZ5,"AAAAAH69tx8=")</f>
        <v>#VALUE!</v>
      </c>
      <c r="AG41" t="e">
        <f>AND(Birds!DA5,"AAAAAH69tyA=")</f>
        <v>#VALUE!</v>
      </c>
      <c r="AH41" t="e">
        <f>AND(Birds!DB5,"AAAAAH69tyE=")</f>
        <v>#VALUE!</v>
      </c>
      <c r="AI41" t="e">
        <f>AND(Birds!DC5,"AAAAAH69tyI=")</f>
        <v>#VALUE!</v>
      </c>
      <c r="AJ41" t="e">
        <f>AND(Birds!DD5,"AAAAAH69tyM=")</f>
        <v>#VALUE!</v>
      </c>
      <c r="AK41" t="e">
        <f>AND(Birds!DE5,"AAAAAH69tyQ=")</f>
        <v>#VALUE!</v>
      </c>
      <c r="AL41" t="e">
        <f>AND(Birds!DF5,"AAAAAH69tyU=")</f>
        <v>#VALUE!</v>
      </c>
      <c r="AM41" t="e">
        <f>AND(Birds!DG5,"AAAAAH69tyY=")</f>
        <v>#VALUE!</v>
      </c>
      <c r="AN41" t="e">
        <f>AND(Birds!DH5,"AAAAAH69tyc=")</f>
        <v>#VALUE!</v>
      </c>
      <c r="AO41" t="e">
        <f>AND(Birds!DI5,"AAAAAH69tyg=")</f>
        <v>#VALUE!</v>
      </c>
      <c r="AP41" t="e">
        <f>AND(Birds!DJ5,"AAAAAH69tyk=")</f>
        <v>#VALUE!</v>
      </c>
      <c r="AQ41" t="e">
        <f>AND(Birds!DK5,"AAAAAH69tyo=")</f>
        <v>#VALUE!</v>
      </c>
      <c r="AR41" t="e">
        <f>AND(Birds!DL5,"AAAAAH69tys=")</f>
        <v>#VALUE!</v>
      </c>
      <c r="AS41" t="e">
        <f>AND(Birds!DM5,"AAAAAH69tyw=")</f>
        <v>#VALUE!</v>
      </c>
      <c r="AT41" t="e">
        <f>AND(Birds!DN5,"AAAAAH69ty0=")</f>
        <v>#VALUE!</v>
      </c>
      <c r="AU41" t="e">
        <f>AND(Birds!DO5,"AAAAAH69ty4=")</f>
        <v>#VALUE!</v>
      </c>
      <c r="AV41" t="e">
        <f>AND(Birds!DP5,"AAAAAH69ty8=")</f>
        <v>#VALUE!</v>
      </c>
      <c r="AW41" t="e">
        <f>AND(Birds!DQ5,"AAAAAH69tzA=")</f>
        <v>#VALUE!</v>
      </c>
      <c r="AX41" t="e">
        <f>AND(Birds!DR5,"AAAAAH69tzE=")</f>
        <v>#VALUE!</v>
      </c>
      <c r="AY41" t="e">
        <f>AND(Birds!DS5,"AAAAAH69tzI=")</f>
        <v>#VALUE!</v>
      </c>
      <c r="AZ41" t="e">
        <f>AND(Birds!DT5,"AAAAAH69tzM=")</f>
        <v>#VALUE!</v>
      </c>
      <c r="BA41" t="e">
        <f>AND(Birds!DU5,"AAAAAH69tzQ=")</f>
        <v>#VALUE!</v>
      </c>
      <c r="BB41" t="e">
        <f>AND(Birds!DV5,"AAAAAH69tzU=")</f>
        <v>#VALUE!</v>
      </c>
      <c r="BC41" t="e">
        <f>AND(Birds!DW5,"AAAAAH69tzY=")</f>
        <v>#VALUE!</v>
      </c>
      <c r="BD41" t="e">
        <f>AND(Birds!DX5,"AAAAAH69tzc=")</f>
        <v>#VALUE!</v>
      </c>
      <c r="BE41" t="e">
        <f>AND(Birds!DY5,"AAAAAH69tzg=")</f>
        <v>#VALUE!</v>
      </c>
      <c r="BF41" t="e">
        <f>AND(Birds!DZ5,"AAAAAH69tzk=")</f>
        <v>#VALUE!</v>
      </c>
      <c r="BG41" t="e">
        <f>AND(Birds!EA5,"AAAAAH69tzo=")</f>
        <v>#VALUE!</v>
      </c>
      <c r="BH41" t="e">
        <f>AND(Birds!EB5,"AAAAAH69tzs=")</f>
        <v>#VALUE!</v>
      </c>
      <c r="BI41" t="e">
        <f>AND(Birds!EC5,"AAAAAH69tzw=")</f>
        <v>#VALUE!</v>
      </c>
      <c r="BJ41" t="e">
        <f>AND(Birds!ED5,"AAAAAH69tz0=")</f>
        <v>#VALUE!</v>
      </c>
      <c r="BK41" t="e">
        <f>AND(Birds!EE5,"AAAAAH69tz4=")</f>
        <v>#VALUE!</v>
      </c>
      <c r="BL41" t="e">
        <f>AND(Birds!EF5,"AAAAAH69tz8=")</f>
        <v>#VALUE!</v>
      </c>
      <c r="BM41" t="e">
        <f>AND(Birds!EG5,"AAAAAH69t0A=")</f>
        <v>#VALUE!</v>
      </c>
      <c r="BN41" t="e">
        <f>AND(Birds!EH5,"AAAAAH69t0E=")</f>
        <v>#VALUE!</v>
      </c>
      <c r="BO41" t="e">
        <f>AND(Birds!EI5,"AAAAAH69t0I=")</f>
        <v>#VALUE!</v>
      </c>
      <c r="BP41" t="e">
        <f>AND(Birds!EJ5,"AAAAAH69t0M=")</f>
        <v>#VALUE!</v>
      </c>
      <c r="BQ41" t="e">
        <f>AND(Birds!EK5,"AAAAAH69t0Q=")</f>
        <v>#VALUE!</v>
      </c>
      <c r="BR41" t="e">
        <f>AND(Birds!EL5,"AAAAAH69t0U=")</f>
        <v>#VALUE!</v>
      </c>
      <c r="BS41" t="e">
        <f>AND(Birds!EM5,"AAAAAH69t0Y=")</f>
        <v>#VALUE!</v>
      </c>
      <c r="BT41" t="e">
        <f>AND(Birds!EN5,"AAAAAH69t0c=")</f>
        <v>#VALUE!</v>
      </c>
      <c r="BU41" t="e">
        <f>AND(Birds!EO5,"AAAAAH69t0g=")</f>
        <v>#VALUE!</v>
      </c>
      <c r="BV41" t="e">
        <f>AND(Birds!EP5,"AAAAAH69t0k=")</f>
        <v>#VALUE!</v>
      </c>
      <c r="BW41" t="e">
        <f>AND(Birds!EQ5,"AAAAAH69t0o=")</f>
        <v>#VALUE!</v>
      </c>
      <c r="BX41" t="e">
        <f>AND(Birds!ER5,"AAAAAH69t0s=")</f>
        <v>#VALUE!</v>
      </c>
      <c r="BY41" t="e">
        <f>AND(Birds!ES5,"AAAAAH69t0w=")</f>
        <v>#VALUE!</v>
      </c>
      <c r="BZ41" t="e">
        <f>AND(Birds!ET5,"AAAAAH69t00=")</f>
        <v>#VALUE!</v>
      </c>
      <c r="CA41" t="e">
        <f>AND(Birds!EU5,"AAAAAH69t04=")</f>
        <v>#VALUE!</v>
      </c>
      <c r="CB41" t="e">
        <f>AND(Birds!EV5,"AAAAAH69t08=")</f>
        <v>#VALUE!</v>
      </c>
      <c r="CC41" t="e">
        <f>AND(Birds!EW5,"AAAAAH69t1A=")</f>
        <v>#VALUE!</v>
      </c>
      <c r="CD41" t="e">
        <f>AND(Birds!EX5,"AAAAAH69t1E=")</f>
        <v>#VALUE!</v>
      </c>
      <c r="CE41" t="e">
        <f>AND(Birds!EY5,"AAAAAH69t1I=")</f>
        <v>#VALUE!</v>
      </c>
      <c r="CF41" t="e">
        <f>AND(Birds!EZ5,"AAAAAH69t1M=")</f>
        <v>#VALUE!</v>
      </c>
      <c r="CG41" t="e">
        <f>AND(Birds!FA5,"AAAAAH69t1Q=")</f>
        <v>#VALUE!</v>
      </c>
      <c r="CH41" t="e">
        <f>AND(Birds!FB5,"AAAAAH69t1U=")</f>
        <v>#VALUE!</v>
      </c>
      <c r="CI41" t="e">
        <f>AND(Birds!FC5,"AAAAAH69t1Y=")</f>
        <v>#VALUE!</v>
      </c>
      <c r="CJ41" t="e">
        <f>AND(Birds!FD5,"AAAAAH69t1c=")</f>
        <v>#VALUE!</v>
      </c>
      <c r="CK41" t="e">
        <f>AND(Birds!FE5,"AAAAAH69t1g=")</f>
        <v>#VALUE!</v>
      </c>
      <c r="CL41" t="e">
        <f>AND(Birds!FF5,"AAAAAH69t1k=")</f>
        <v>#VALUE!</v>
      </c>
      <c r="CM41" t="e">
        <f>AND(Birds!FG5,"AAAAAH69t1o=")</f>
        <v>#VALUE!</v>
      </c>
      <c r="CN41" t="e">
        <f>AND(Birds!FH5,"AAAAAH69t1s=")</f>
        <v>#VALUE!</v>
      </c>
      <c r="CO41" t="e">
        <f>AND(Birds!FI5,"AAAAAH69t1w=")</f>
        <v>#VALUE!</v>
      </c>
      <c r="CP41" t="e">
        <f>AND(Birds!FJ5,"AAAAAH69t10=")</f>
        <v>#VALUE!</v>
      </c>
      <c r="CQ41" t="e">
        <f>AND(Birds!FK5,"AAAAAH69t14=")</f>
        <v>#VALUE!</v>
      </c>
      <c r="CR41" t="e">
        <f>AND(Birds!FL5,"AAAAAH69t18=")</f>
        <v>#VALUE!</v>
      </c>
      <c r="CS41" t="e">
        <f>AND(Birds!FM5,"AAAAAH69t2A=")</f>
        <v>#VALUE!</v>
      </c>
      <c r="CT41" t="e">
        <f>AND(Birds!FN5,"AAAAAH69t2E=")</f>
        <v>#VALUE!</v>
      </c>
      <c r="CU41" t="e">
        <f>AND(Birds!FO5,"AAAAAH69t2I=")</f>
        <v>#VALUE!</v>
      </c>
      <c r="CV41" t="e">
        <f>AND(Birds!FP5,"AAAAAH69t2M=")</f>
        <v>#VALUE!</v>
      </c>
      <c r="CW41" t="e">
        <f>AND(Birds!FQ5,"AAAAAH69t2Q=")</f>
        <v>#VALUE!</v>
      </c>
      <c r="CX41" t="e">
        <f>AND(Birds!FR5,"AAAAAH69t2U=")</f>
        <v>#VALUE!</v>
      </c>
      <c r="CY41" t="e">
        <f>AND(Birds!FS5,"AAAAAH69t2Y=")</f>
        <v>#VALUE!</v>
      </c>
      <c r="CZ41" t="e">
        <f>AND(Birds!FT5,"AAAAAH69t2c=")</f>
        <v>#VALUE!</v>
      </c>
      <c r="DA41" t="e">
        <f>AND(Birds!FU5,"AAAAAH69t2g=")</f>
        <v>#VALUE!</v>
      </c>
      <c r="DB41" t="e">
        <f>AND(Birds!FV5,"AAAAAH69t2k=")</f>
        <v>#VALUE!</v>
      </c>
      <c r="DC41" t="e">
        <f>AND(Birds!FW5,"AAAAAH69t2o=")</f>
        <v>#VALUE!</v>
      </c>
      <c r="DD41" t="e">
        <f>AND(Birds!FX5,"AAAAAH69t2s=")</f>
        <v>#VALUE!</v>
      </c>
      <c r="DE41" t="e">
        <f>AND(Birds!FY5,"AAAAAH69t2w=")</f>
        <v>#VALUE!</v>
      </c>
      <c r="DF41" t="e">
        <f>AND(Birds!FZ5,"AAAAAH69t20=")</f>
        <v>#VALUE!</v>
      </c>
      <c r="DG41" t="e">
        <f>AND(Birds!GA5,"AAAAAH69t24=")</f>
        <v>#VALUE!</v>
      </c>
      <c r="DH41" t="e">
        <f>AND(Birds!GB5,"AAAAAH69t28=")</f>
        <v>#VALUE!</v>
      </c>
      <c r="DI41" t="e">
        <f>AND(Birds!GC5,"AAAAAH69t3A=")</f>
        <v>#VALUE!</v>
      </c>
      <c r="DJ41" t="e">
        <f>AND(Birds!GD5,"AAAAAH69t3E=")</f>
        <v>#VALUE!</v>
      </c>
      <c r="DK41" t="e">
        <f>AND(Birds!GE5,"AAAAAH69t3I=")</f>
        <v>#VALUE!</v>
      </c>
      <c r="DL41" t="e">
        <f>AND(Birds!GF5,"AAAAAH69t3M=")</f>
        <v>#VALUE!</v>
      </c>
      <c r="DM41" t="e">
        <f>AND(Birds!GG5,"AAAAAH69t3Q=")</f>
        <v>#VALUE!</v>
      </c>
      <c r="DN41" t="e">
        <f>AND(Birds!GH5,"AAAAAH69t3U=")</f>
        <v>#VALUE!</v>
      </c>
      <c r="DO41" t="e">
        <f>AND(Birds!GI5,"AAAAAH69t3Y=")</f>
        <v>#VALUE!</v>
      </c>
      <c r="DP41" t="e">
        <f>AND(Birds!GJ5,"AAAAAH69t3c=")</f>
        <v>#VALUE!</v>
      </c>
      <c r="DQ41" t="e">
        <f>AND(Birds!GK5,"AAAAAH69t3g=")</f>
        <v>#VALUE!</v>
      </c>
      <c r="DR41" t="e">
        <f>AND(Birds!GL5,"AAAAAH69t3k=")</f>
        <v>#VALUE!</v>
      </c>
      <c r="DS41" t="e">
        <f>AND(Birds!GM5,"AAAAAH69t3o=")</f>
        <v>#VALUE!</v>
      </c>
      <c r="DT41">
        <f>IF(Birds!6:6,"AAAAAH69t3s=",0)</f>
        <v>0</v>
      </c>
      <c r="DU41" t="e">
        <f>AND(Birds!A6,"AAAAAH69t3w=")</f>
        <v>#VALUE!</v>
      </c>
      <c r="DV41" t="e">
        <f>AND(Birds!B6,"AAAAAH69t30=")</f>
        <v>#VALUE!</v>
      </c>
      <c r="DW41" t="e">
        <f>AND(Birds!C6,"AAAAAH69t34=")</f>
        <v>#VALUE!</v>
      </c>
      <c r="DX41" t="e">
        <f>AND(Birds!D6,"AAAAAH69t38=")</f>
        <v>#VALUE!</v>
      </c>
      <c r="DY41" t="e">
        <f>AND(Birds!E6,"AAAAAH69t4A=")</f>
        <v>#VALUE!</v>
      </c>
      <c r="DZ41" t="e">
        <f>AND(Birds!F6,"AAAAAH69t4E=")</f>
        <v>#VALUE!</v>
      </c>
      <c r="EA41" t="e">
        <f>AND(Birds!G6,"AAAAAH69t4I=")</f>
        <v>#VALUE!</v>
      </c>
      <c r="EB41" t="e">
        <f>AND(Birds!H6,"AAAAAH69t4M=")</f>
        <v>#VALUE!</v>
      </c>
      <c r="EC41" t="e">
        <f>AND(Birds!I6,"AAAAAH69t4Q=")</f>
        <v>#VALUE!</v>
      </c>
      <c r="ED41" t="e">
        <f>AND(Birds!J6,"AAAAAH69t4U=")</f>
        <v>#VALUE!</v>
      </c>
      <c r="EE41" t="e">
        <f>AND(Birds!K6,"AAAAAH69t4Y=")</f>
        <v>#VALUE!</v>
      </c>
      <c r="EF41" t="e">
        <f>AND(Birds!L6,"AAAAAH69t4c=")</f>
        <v>#VALUE!</v>
      </c>
      <c r="EG41" t="e">
        <f>AND(Birds!M6,"AAAAAH69t4g=")</f>
        <v>#VALUE!</v>
      </c>
      <c r="EH41" t="e">
        <f>AND(Birds!N6,"AAAAAH69t4k=")</f>
        <v>#VALUE!</v>
      </c>
      <c r="EI41" t="e">
        <f>AND(Birds!O6,"AAAAAH69t4o=")</f>
        <v>#VALUE!</v>
      </c>
      <c r="EJ41" t="e">
        <f>AND(Birds!P6,"AAAAAH69t4s=")</f>
        <v>#VALUE!</v>
      </c>
      <c r="EK41" t="e">
        <f>AND(Birds!Q6,"AAAAAH69t4w=")</f>
        <v>#VALUE!</v>
      </c>
      <c r="EL41" t="e">
        <f>AND(Birds!R6,"AAAAAH69t40=")</f>
        <v>#VALUE!</v>
      </c>
      <c r="EM41" t="e">
        <f>AND(Birds!S6,"AAAAAH69t44=")</f>
        <v>#VALUE!</v>
      </c>
      <c r="EN41" t="e">
        <f>AND(Birds!T6,"AAAAAH69t48=")</f>
        <v>#VALUE!</v>
      </c>
      <c r="EO41" t="e">
        <f>AND(Birds!U6,"AAAAAH69t5A=")</f>
        <v>#VALUE!</v>
      </c>
      <c r="EP41" t="e">
        <f>AND(Birds!V6,"AAAAAH69t5E=")</f>
        <v>#VALUE!</v>
      </c>
      <c r="EQ41" t="e">
        <f>AND(Birds!W6,"AAAAAH69t5I=")</f>
        <v>#VALUE!</v>
      </c>
      <c r="ER41" t="e">
        <f>AND(Birds!X6,"AAAAAH69t5M=")</f>
        <v>#VALUE!</v>
      </c>
      <c r="ES41" t="e">
        <f>AND(Birds!Y6,"AAAAAH69t5Q=")</f>
        <v>#VALUE!</v>
      </c>
      <c r="ET41" t="e">
        <f>AND(Birds!Z6,"AAAAAH69t5U=")</f>
        <v>#VALUE!</v>
      </c>
      <c r="EU41" t="e">
        <f>AND(Birds!AA6,"AAAAAH69t5Y=")</f>
        <v>#VALUE!</v>
      </c>
      <c r="EV41" t="e">
        <f>AND(Birds!AB6,"AAAAAH69t5c=")</f>
        <v>#VALUE!</v>
      </c>
      <c r="EW41" t="e">
        <f>AND(Birds!AC6,"AAAAAH69t5g=")</f>
        <v>#VALUE!</v>
      </c>
      <c r="EX41" t="e">
        <f>AND(Birds!AD6,"AAAAAH69t5k=")</f>
        <v>#VALUE!</v>
      </c>
      <c r="EY41" t="e">
        <f>AND(Birds!AE6,"AAAAAH69t5o=")</f>
        <v>#VALUE!</v>
      </c>
      <c r="EZ41" t="e">
        <f>AND(Birds!AF6,"AAAAAH69t5s=")</f>
        <v>#VALUE!</v>
      </c>
      <c r="FA41" t="e">
        <f>AND(Birds!AG6,"AAAAAH69t5w=")</f>
        <v>#VALUE!</v>
      </c>
      <c r="FB41" t="e">
        <f>AND(Birds!AH6,"AAAAAH69t50=")</f>
        <v>#VALUE!</v>
      </c>
      <c r="FC41" t="e">
        <f>AND(Birds!AI6,"AAAAAH69t54=")</f>
        <v>#VALUE!</v>
      </c>
      <c r="FD41" t="e">
        <f>AND(Birds!AJ6,"AAAAAH69t58=")</f>
        <v>#VALUE!</v>
      </c>
      <c r="FE41" t="e">
        <f>AND(Birds!AK6,"AAAAAH69t6A=")</f>
        <v>#VALUE!</v>
      </c>
      <c r="FF41" t="e">
        <f>AND(Birds!AL6,"AAAAAH69t6E=")</f>
        <v>#VALUE!</v>
      </c>
      <c r="FG41" t="e">
        <f>AND(Birds!AM6,"AAAAAH69t6I=")</f>
        <v>#VALUE!</v>
      </c>
      <c r="FH41" t="e">
        <f>AND(Birds!AN6,"AAAAAH69t6M=")</f>
        <v>#VALUE!</v>
      </c>
      <c r="FI41" t="e">
        <f>AND(Birds!AO6,"AAAAAH69t6Q=")</f>
        <v>#VALUE!</v>
      </c>
      <c r="FJ41" t="e">
        <f>AND(Birds!AP6,"AAAAAH69t6U=")</f>
        <v>#VALUE!</v>
      </c>
      <c r="FK41" t="e">
        <f>AND(Birds!AQ6,"AAAAAH69t6Y=")</f>
        <v>#VALUE!</v>
      </c>
      <c r="FL41" t="e">
        <f>AND(Birds!AR6,"AAAAAH69t6c=")</f>
        <v>#VALUE!</v>
      </c>
      <c r="FM41" t="e">
        <f>AND(Birds!AS6,"AAAAAH69t6g=")</f>
        <v>#VALUE!</v>
      </c>
      <c r="FN41" t="e">
        <f>AND(Birds!AT6,"AAAAAH69t6k=")</f>
        <v>#VALUE!</v>
      </c>
      <c r="FO41" t="e">
        <f>AND(Birds!AU6,"AAAAAH69t6o=")</f>
        <v>#VALUE!</v>
      </c>
      <c r="FP41" t="e">
        <f>AND(Birds!AV6,"AAAAAH69t6s=")</f>
        <v>#VALUE!</v>
      </c>
      <c r="FQ41" t="e">
        <f>AND(Birds!AW6,"AAAAAH69t6w=")</f>
        <v>#VALUE!</v>
      </c>
      <c r="FR41" t="e">
        <f>AND(Birds!AX6,"AAAAAH69t60=")</f>
        <v>#VALUE!</v>
      </c>
      <c r="FS41" t="e">
        <f>AND(Birds!AY6,"AAAAAH69t64=")</f>
        <v>#VALUE!</v>
      </c>
      <c r="FT41" t="e">
        <f>AND(Birds!AZ6,"AAAAAH69t68=")</f>
        <v>#VALUE!</v>
      </c>
      <c r="FU41" t="e">
        <f>AND(Birds!BA6,"AAAAAH69t7A=")</f>
        <v>#VALUE!</v>
      </c>
      <c r="FV41" t="e">
        <f>AND(Birds!BB6,"AAAAAH69t7E=")</f>
        <v>#VALUE!</v>
      </c>
      <c r="FW41" t="e">
        <f>AND(Birds!BC6,"AAAAAH69t7I=")</f>
        <v>#VALUE!</v>
      </c>
      <c r="FX41" t="e">
        <f>AND(Birds!BD6,"AAAAAH69t7M=")</f>
        <v>#VALUE!</v>
      </c>
      <c r="FY41" t="e">
        <f>AND(Birds!BE6,"AAAAAH69t7Q=")</f>
        <v>#VALUE!</v>
      </c>
      <c r="FZ41" t="e">
        <f>AND(Birds!BF6,"AAAAAH69t7U=")</f>
        <v>#VALUE!</v>
      </c>
      <c r="GA41" t="e">
        <f>AND(Birds!BG6,"AAAAAH69t7Y=")</f>
        <v>#VALUE!</v>
      </c>
      <c r="GB41" t="e">
        <f>AND(Birds!BH6,"AAAAAH69t7c=")</f>
        <v>#VALUE!</v>
      </c>
      <c r="GC41" t="e">
        <f>AND(Birds!BI6,"AAAAAH69t7g=")</f>
        <v>#VALUE!</v>
      </c>
      <c r="GD41" t="e">
        <f>AND(Birds!BJ6,"AAAAAH69t7k=")</f>
        <v>#VALUE!</v>
      </c>
      <c r="GE41" t="e">
        <f>AND(Birds!BK6,"AAAAAH69t7o=")</f>
        <v>#VALUE!</v>
      </c>
      <c r="GF41" t="e">
        <f>AND(Birds!BL6,"AAAAAH69t7s=")</f>
        <v>#VALUE!</v>
      </c>
      <c r="GG41" t="e">
        <f>AND(Birds!BM6,"AAAAAH69t7w=")</f>
        <v>#VALUE!</v>
      </c>
      <c r="GH41" t="e">
        <f>AND(Birds!BN6,"AAAAAH69t70=")</f>
        <v>#VALUE!</v>
      </c>
      <c r="GI41" t="e">
        <f>AND(Birds!BO6,"AAAAAH69t74=")</f>
        <v>#VALUE!</v>
      </c>
      <c r="GJ41" t="e">
        <f>AND(Birds!BP6,"AAAAAH69t78=")</f>
        <v>#VALUE!</v>
      </c>
      <c r="GK41" t="e">
        <f>AND(Birds!BQ6,"AAAAAH69t8A=")</f>
        <v>#VALUE!</v>
      </c>
      <c r="GL41" t="e">
        <f>AND(Birds!BR6,"AAAAAH69t8E=")</f>
        <v>#VALUE!</v>
      </c>
      <c r="GM41" t="e">
        <f>AND(Birds!BS6,"AAAAAH69t8I=")</f>
        <v>#VALUE!</v>
      </c>
      <c r="GN41" t="e">
        <f>AND(Birds!BT6,"AAAAAH69t8M=")</f>
        <v>#VALUE!</v>
      </c>
      <c r="GO41" t="e">
        <f>AND(Birds!BU6,"AAAAAH69t8Q=")</f>
        <v>#VALUE!</v>
      </c>
      <c r="GP41" t="e">
        <f>AND(Birds!BV6,"AAAAAH69t8U=")</f>
        <v>#VALUE!</v>
      </c>
      <c r="GQ41" t="e">
        <f>AND(Birds!BW6,"AAAAAH69t8Y=")</f>
        <v>#VALUE!</v>
      </c>
      <c r="GR41" t="e">
        <f>AND(Birds!BX6,"AAAAAH69t8c=")</f>
        <v>#VALUE!</v>
      </c>
      <c r="GS41" t="e">
        <f>AND(Birds!BY6,"AAAAAH69t8g=")</f>
        <v>#VALUE!</v>
      </c>
      <c r="GT41" t="e">
        <f>AND(Birds!BZ6,"AAAAAH69t8k=")</f>
        <v>#VALUE!</v>
      </c>
      <c r="GU41" t="e">
        <f>AND(Birds!CA6,"AAAAAH69t8o=")</f>
        <v>#VALUE!</v>
      </c>
      <c r="GV41" t="e">
        <f>AND(Birds!CB6,"AAAAAH69t8s=")</f>
        <v>#VALUE!</v>
      </c>
      <c r="GW41" t="e">
        <f>AND(Birds!CC6,"AAAAAH69t8w=")</f>
        <v>#VALUE!</v>
      </c>
      <c r="GX41" t="e">
        <f>AND(Birds!CD6,"AAAAAH69t80=")</f>
        <v>#VALUE!</v>
      </c>
      <c r="GY41" t="e">
        <f>AND(Birds!CE6,"AAAAAH69t84=")</f>
        <v>#VALUE!</v>
      </c>
      <c r="GZ41" t="e">
        <f>AND(Birds!CF6,"AAAAAH69t88=")</f>
        <v>#VALUE!</v>
      </c>
      <c r="HA41" t="e">
        <f>AND(Birds!CG6,"AAAAAH69t9A=")</f>
        <v>#VALUE!</v>
      </c>
      <c r="HB41" t="e">
        <f>AND(Birds!CH6,"AAAAAH69t9E=")</f>
        <v>#VALUE!</v>
      </c>
      <c r="HC41" t="e">
        <f>AND(Birds!CI6,"AAAAAH69t9I=")</f>
        <v>#VALUE!</v>
      </c>
      <c r="HD41" t="e">
        <f>AND(Birds!CJ6,"AAAAAH69t9M=")</f>
        <v>#VALUE!</v>
      </c>
      <c r="HE41" t="e">
        <f>AND(Birds!CK6,"AAAAAH69t9Q=")</f>
        <v>#VALUE!</v>
      </c>
      <c r="HF41" t="e">
        <f>AND(Birds!CL6,"AAAAAH69t9U=")</f>
        <v>#VALUE!</v>
      </c>
      <c r="HG41" t="e">
        <f>AND(Birds!CM6,"AAAAAH69t9Y=")</f>
        <v>#VALUE!</v>
      </c>
      <c r="HH41" t="e">
        <f>AND(Birds!CN6,"AAAAAH69t9c=")</f>
        <v>#VALUE!</v>
      </c>
      <c r="HI41" t="e">
        <f>AND(Birds!CO6,"AAAAAH69t9g=")</f>
        <v>#VALUE!</v>
      </c>
      <c r="HJ41" t="e">
        <f>AND(Birds!CP6,"AAAAAH69t9k=")</f>
        <v>#VALUE!</v>
      </c>
      <c r="HK41" t="e">
        <f>AND(Birds!CQ6,"AAAAAH69t9o=")</f>
        <v>#VALUE!</v>
      </c>
      <c r="HL41" t="e">
        <f>AND(Birds!CR6,"AAAAAH69t9s=")</f>
        <v>#VALUE!</v>
      </c>
      <c r="HM41" t="e">
        <f>AND(Birds!CS6,"AAAAAH69t9w=")</f>
        <v>#VALUE!</v>
      </c>
      <c r="HN41" t="e">
        <f>AND(Birds!CT6,"AAAAAH69t90=")</f>
        <v>#VALUE!</v>
      </c>
      <c r="HO41" t="e">
        <f>AND(Birds!CU6,"AAAAAH69t94=")</f>
        <v>#VALUE!</v>
      </c>
      <c r="HP41" t="e">
        <f>AND(Birds!CV6,"AAAAAH69t98=")</f>
        <v>#VALUE!</v>
      </c>
      <c r="HQ41" t="e">
        <f>AND(Birds!CW6,"AAAAAH69t+A=")</f>
        <v>#VALUE!</v>
      </c>
      <c r="HR41" t="e">
        <f>AND(Birds!CX6,"AAAAAH69t+E=")</f>
        <v>#VALUE!</v>
      </c>
      <c r="HS41" t="e">
        <f>AND(Birds!CY6,"AAAAAH69t+I=")</f>
        <v>#VALUE!</v>
      </c>
      <c r="HT41" t="e">
        <f>AND(Birds!CZ6,"AAAAAH69t+M=")</f>
        <v>#VALUE!</v>
      </c>
      <c r="HU41" t="e">
        <f>AND(Birds!DA6,"AAAAAH69t+Q=")</f>
        <v>#VALUE!</v>
      </c>
      <c r="HV41" t="e">
        <f>AND(Birds!DB6,"AAAAAH69t+U=")</f>
        <v>#VALUE!</v>
      </c>
      <c r="HW41" t="e">
        <f>AND(Birds!DC6,"AAAAAH69t+Y=")</f>
        <v>#VALUE!</v>
      </c>
      <c r="HX41" t="e">
        <f>AND(Birds!DD6,"AAAAAH69t+c=")</f>
        <v>#VALUE!</v>
      </c>
      <c r="HY41" t="e">
        <f>AND(Birds!DE6,"AAAAAH69t+g=")</f>
        <v>#VALUE!</v>
      </c>
      <c r="HZ41" t="e">
        <f>AND(Birds!DF6,"AAAAAH69t+k=")</f>
        <v>#VALUE!</v>
      </c>
      <c r="IA41" t="e">
        <f>AND(Birds!DG6,"AAAAAH69t+o=")</f>
        <v>#VALUE!</v>
      </c>
      <c r="IB41" t="e">
        <f>AND(Birds!DH6,"AAAAAH69t+s=")</f>
        <v>#VALUE!</v>
      </c>
      <c r="IC41" t="e">
        <f>AND(Birds!DI6,"AAAAAH69t+w=")</f>
        <v>#VALUE!</v>
      </c>
      <c r="ID41" t="e">
        <f>AND(Birds!DJ6,"AAAAAH69t+0=")</f>
        <v>#VALUE!</v>
      </c>
      <c r="IE41" t="e">
        <f>AND(Birds!DK6,"AAAAAH69t+4=")</f>
        <v>#VALUE!</v>
      </c>
      <c r="IF41" t="e">
        <f>AND(Birds!DL6,"AAAAAH69t+8=")</f>
        <v>#VALUE!</v>
      </c>
      <c r="IG41" t="e">
        <f>AND(Birds!DM6,"AAAAAH69t/A=")</f>
        <v>#VALUE!</v>
      </c>
      <c r="IH41" t="e">
        <f>AND(Birds!DN6,"AAAAAH69t/E=")</f>
        <v>#VALUE!</v>
      </c>
      <c r="II41" t="e">
        <f>AND(Birds!DO6,"AAAAAH69t/I=")</f>
        <v>#VALUE!</v>
      </c>
      <c r="IJ41" t="e">
        <f>AND(Birds!DP6,"AAAAAH69t/M=")</f>
        <v>#VALUE!</v>
      </c>
      <c r="IK41" t="e">
        <f>AND(Birds!DQ6,"AAAAAH69t/Q=")</f>
        <v>#VALUE!</v>
      </c>
      <c r="IL41" t="e">
        <f>AND(Birds!DR6,"AAAAAH69t/U=")</f>
        <v>#VALUE!</v>
      </c>
      <c r="IM41" t="e">
        <f>AND(Birds!DS6,"AAAAAH69t/Y=")</f>
        <v>#VALUE!</v>
      </c>
      <c r="IN41" t="e">
        <f>AND(Birds!DT6,"AAAAAH69t/c=")</f>
        <v>#VALUE!</v>
      </c>
      <c r="IO41" t="e">
        <f>AND(Birds!DU6,"AAAAAH69t/g=")</f>
        <v>#VALUE!</v>
      </c>
      <c r="IP41" t="e">
        <f>AND(Birds!DV6,"AAAAAH69t/k=")</f>
        <v>#VALUE!</v>
      </c>
      <c r="IQ41" t="e">
        <f>AND(Birds!DW6,"AAAAAH69t/o=")</f>
        <v>#VALUE!</v>
      </c>
      <c r="IR41" t="e">
        <f>AND(Birds!DX6,"AAAAAH69t/s=")</f>
        <v>#VALUE!</v>
      </c>
      <c r="IS41" t="e">
        <f>AND(Birds!DY6,"AAAAAH69t/w=")</f>
        <v>#VALUE!</v>
      </c>
      <c r="IT41" t="e">
        <f>AND(Birds!DZ6,"AAAAAH69t/0=")</f>
        <v>#VALUE!</v>
      </c>
      <c r="IU41" t="e">
        <f>AND(Birds!EA6,"AAAAAH69t/4=")</f>
        <v>#VALUE!</v>
      </c>
      <c r="IV41" t="e">
        <f>AND(Birds!EB6,"AAAAAH69t/8=")</f>
        <v>#VALUE!</v>
      </c>
    </row>
    <row r="42" spans="1:256">
      <c r="A42" t="e">
        <f>AND(Birds!EC6,"AAAAAFj//wA=")</f>
        <v>#VALUE!</v>
      </c>
      <c r="B42" t="e">
        <f>AND(Birds!ED6,"AAAAAFj//wE=")</f>
        <v>#VALUE!</v>
      </c>
      <c r="C42" t="e">
        <f>AND(Birds!EE6,"AAAAAFj//wI=")</f>
        <v>#VALUE!</v>
      </c>
      <c r="D42" t="e">
        <f>AND(Birds!EF6,"AAAAAFj//wM=")</f>
        <v>#VALUE!</v>
      </c>
      <c r="E42" t="e">
        <f>AND(Birds!EG6,"AAAAAFj//wQ=")</f>
        <v>#VALUE!</v>
      </c>
      <c r="F42" t="e">
        <f>AND(Birds!EH6,"AAAAAFj//wU=")</f>
        <v>#VALUE!</v>
      </c>
      <c r="G42" t="e">
        <f>AND(Birds!EI6,"AAAAAFj//wY=")</f>
        <v>#VALUE!</v>
      </c>
      <c r="H42" t="e">
        <f>AND(Birds!EJ6,"AAAAAFj//wc=")</f>
        <v>#VALUE!</v>
      </c>
      <c r="I42" t="e">
        <f>AND(Birds!EK6,"AAAAAFj//wg=")</f>
        <v>#VALUE!</v>
      </c>
      <c r="J42" t="e">
        <f>AND(Birds!EL6,"AAAAAFj//wk=")</f>
        <v>#VALUE!</v>
      </c>
      <c r="K42" t="e">
        <f>AND(Birds!EM6,"AAAAAFj//wo=")</f>
        <v>#VALUE!</v>
      </c>
      <c r="L42" t="e">
        <f>AND(Birds!EN6,"AAAAAFj//ws=")</f>
        <v>#VALUE!</v>
      </c>
      <c r="M42" t="e">
        <f>AND(Birds!EO6,"AAAAAFj//ww=")</f>
        <v>#VALUE!</v>
      </c>
      <c r="N42" t="e">
        <f>AND(Birds!EP6,"AAAAAFj//w0=")</f>
        <v>#VALUE!</v>
      </c>
      <c r="O42" t="e">
        <f>AND(Birds!EQ6,"AAAAAFj//w4=")</f>
        <v>#VALUE!</v>
      </c>
      <c r="P42" t="e">
        <f>AND(Birds!ER6,"AAAAAFj//w8=")</f>
        <v>#VALUE!</v>
      </c>
      <c r="Q42" t="e">
        <f>AND(Birds!ES6,"AAAAAFj//xA=")</f>
        <v>#VALUE!</v>
      </c>
      <c r="R42" t="e">
        <f>AND(Birds!ET6,"AAAAAFj//xE=")</f>
        <v>#VALUE!</v>
      </c>
      <c r="S42" t="e">
        <f>AND(Birds!EU6,"AAAAAFj//xI=")</f>
        <v>#VALUE!</v>
      </c>
      <c r="T42" t="e">
        <f>AND(Birds!EV6,"AAAAAFj//xM=")</f>
        <v>#VALUE!</v>
      </c>
      <c r="U42" t="e">
        <f>AND(Birds!EW6,"AAAAAFj//xQ=")</f>
        <v>#VALUE!</v>
      </c>
      <c r="V42" t="e">
        <f>AND(Birds!EX6,"AAAAAFj//xU=")</f>
        <v>#VALUE!</v>
      </c>
      <c r="W42" t="e">
        <f>AND(Birds!EY6,"AAAAAFj//xY=")</f>
        <v>#VALUE!</v>
      </c>
      <c r="X42" t="e">
        <f>AND(Birds!EZ6,"AAAAAFj//xc=")</f>
        <v>#VALUE!</v>
      </c>
      <c r="Y42" t="e">
        <f>AND(Birds!FA6,"AAAAAFj//xg=")</f>
        <v>#VALUE!</v>
      </c>
      <c r="Z42" t="e">
        <f>AND(Birds!FB6,"AAAAAFj//xk=")</f>
        <v>#VALUE!</v>
      </c>
      <c r="AA42" t="e">
        <f>AND(Birds!FC6,"AAAAAFj//xo=")</f>
        <v>#VALUE!</v>
      </c>
      <c r="AB42" t="e">
        <f>AND(Birds!FD6,"AAAAAFj//xs=")</f>
        <v>#VALUE!</v>
      </c>
      <c r="AC42" t="e">
        <f>AND(Birds!FE6,"AAAAAFj//xw=")</f>
        <v>#VALUE!</v>
      </c>
      <c r="AD42" t="e">
        <f>AND(Birds!FF6,"AAAAAFj//x0=")</f>
        <v>#VALUE!</v>
      </c>
      <c r="AE42" t="e">
        <f>AND(Birds!FG6,"AAAAAFj//x4=")</f>
        <v>#VALUE!</v>
      </c>
      <c r="AF42" t="e">
        <f>AND(Birds!FH6,"AAAAAFj//x8=")</f>
        <v>#VALUE!</v>
      </c>
      <c r="AG42" t="e">
        <f>AND(Birds!FI6,"AAAAAFj//yA=")</f>
        <v>#VALUE!</v>
      </c>
      <c r="AH42" t="e">
        <f>AND(Birds!FJ6,"AAAAAFj//yE=")</f>
        <v>#VALUE!</v>
      </c>
      <c r="AI42" t="e">
        <f>AND(Birds!FK6,"AAAAAFj//yI=")</f>
        <v>#VALUE!</v>
      </c>
      <c r="AJ42" t="e">
        <f>AND(Birds!FL6,"AAAAAFj//yM=")</f>
        <v>#VALUE!</v>
      </c>
      <c r="AK42" t="e">
        <f>AND(Birds!FM6,"AAAAAFj//yQ=")</f>
        <v>#VALUE!</v>
      </c>
      <c r="AL42" t="e">
        <f>AND(Birds!FN6,"AAAAAFj//yU=")</f>
        <v>#VALUE!</v>
      </c>
      <c r="AM42" t="e">
        <f>AND(Birds!FO6,"AAAAAFj//yY=")</f>
        <v>#VALUE!</v>
      </c>
      <c r="AN42" t="e">
        <f>AND(Birds!FP6,"AAAAAFj//yc=")</f>
        <v>#VALUE!</v>
      </c>
      <c r="AO42" t="e">
        <f>AND(Birds!FQ6,"AAAAAFj//yg=")</f>
        <v>#VALUE!</v>
      </c>
      <c r="AP42" t="e">
        <f>AND(Birds!FR6,"AAAAAFj//yk=")</f>
        <v>#VALUE!</v>
      </c>
      <c r="AQ42" t="e">
        <f>AND(Birds!FS6,"AAAAAFj//yo=")</f>
        <v>#VALUE!</v>
      </c>
      <c r="AR42" t="e">
        <f>AND(Birds!FT6,"AAAAAFj//ys=")</f>
        <v>#VALUE!</v>
      </c>
      <c r="AS42" t="e">
        <f>AND(Birds!FU6,"AAAAAFj//yw=")</f>
        <v>#VALUE!</v>
      </c>
      <c r="AT42" t="e">
        <f>AND(Birds!FV6,"AAAAAFj//y0=")</f>
        <v>#VALUE!</v>
      </c>
      <c r="AU42" t="e">
        <f>AND(Birds!FW6,"AAAAAFj//y4=")</f>
        <v>#VALUE!</v>
      </c>
      <c r="AV42" t="e">
        <f>AND(Birds!FX6,"AAAAAFj//y8=")</f>
        <v>#VALUE!</v>
      </c>
      <c r="AW42" t="e">
        <f>AND(Birds!FY6,"AAAAAFj//zA=")</f>
        <v>#VALUE!</v>
      </c>
      <c r="AX42" t="e">
        <f>AND(Birds!FZ6,"AAAAAFj//zE=")</f>
        <v>#VALUE!</v>
      </c>
      <c r="AY42" t="e">
        <f>AND(Birds!GA6,"AAAAAFj//zI=")</f>
        <v>#VALUE!</v>
      </c>
      <c r="AZ42" t="e">
        <f>AND(Birds!GB6,"AAAAAFj//zM=")</f>
        <v>#VALUE!</v>
      </c>
      <c r="BA42" t="e">
        <f>AND(Birds!GC6,"AAAAAFj//zQ=")</f>
        <v>#VALUE!</v>
      </c>
      <c r="BB42" t="e">
        <f>AND(Birds!GD6,"AAAAAFj//zU=")</f>
        <v>#VALUE!</v>
      </c>
      <c r="BC42" t="e">
        <f>AND(Birds!GE6,"AAAAAFj//zY=")</f>
        <v>#VALUE!</v>
      </c>
      <c r="BD42" t="e">
        <f>AND(Birds!GF6,"AAAAAFj//zc=")</f>
        <v>#VALUE!</v>
      </c>
      <c r="BE42" t="e">
        <f>AND(Birds!GG6,"AAAAAFj//zg=")</f>
        <v>#VALUE!</v>
      </c>
      <c r="BF42" t="e">
        <f>AND(Birds!GH6,"AAAAAFj//zk=")</f>
        <v>#VALUE!</v>
      </c>
      <c r="BG42" t="e">
        <f>AND(Birds!GI6,"AAAAAFj//zo=")</f>
        <v>#VALUE!</v>
      </c>
      <c r="BH42" t="e">
        <f>AND(Birds!GJ6,"AAAAAFj//zs=")</f>
        <v>#VALUE!</v>
      </c>
      <c r="BI42" t="e">
        <f>AND(Birds!GK6,"AAAAAFj//zw=")</f>
        <v>#VALUE!</v>
      </c>
      <c r="BJ42" t="e">
        <f>AND(Birds!GL6,"AAAAAFj//z0=")</f>
        <v>#VALUE!</v>
      </c>
      <c r="BK42" t="e">
        <f>AND(Birds!GM6,"AAAAAFj//z4=")</f>
        <v>#VALUE!</v>
      </c>
      <c r="BL42">
        <f>IF(Birds!7:7,"AAAAAFj//z8=",0)</f>
        <v>0</v>
      </c>
      <c r="BM42" t="e">
        <f>AND(Birds!A7,"AAAAAFj//0A=")</f>
        <v>#VALUE!</v>
      </c>
      <c r="BN42" t="e">
        <f>AND(Birds!B7,"AAAAAFj//0E=")</f>
        <v>#VALUE!</v>
      </c>
      <c r="BO42" t="e">
        <f>AND(Birds!C7,"AAAAAFj//0I=")</f>
        <v>#VALUE!</v>
      </c>
      <c r="BP42" t="e">
        <f>AND(Birds!D7,"AAAAAFj//0M=")</f>
        <v>#VALUE!</v>
      </c>
      <c r="BQ42" t="e">
        <f>AND(Birds!E7,"AAAAAFj//0Q=")</f>
        <v>#VALUE!</v>
      </c>
      <c r="BR42" t="e">
        <f>AND(Birds!F7,"AAAAAFj//0U=")</f>
        <v>#VALUE!</v>
      </c>
      <c r="BS42" t="e">
        <f>AND(Birds!G7,"AAAAAFj//0Y=")</f>
        <v>#VALUE!</v>
      </c>
      <c r="BT42" t="e">
        <f>AND(Birds!H7,"AAAAAFj//0c=")</f>
        <v>#VALUE!</v>
      </c>
      <c r="BU42" t="e">
        <f>AND(Birds!I7,"AAAAAFj//0g=")</f>
        <v>#VALUE!</v>
      </c>
      <c r="BV42" t="e">
        <f>AND(Birds!J7,"AAAAAFj//0k=")</f>
        <v>#VALUE!</v>
      </c>
      <c r="BW42" t="e">
        <f>AND(Birds!K7,"AAAAAFj//0o=")</f>
        <v>#VALUE!</v>
      </c>
      <c r="BX42" t="e">
        <f>AND(Birds!L7,"AAAAAFj//0s=")</f>
        <v>#VALUE!</v>
      </c>
      <c r="BY42" t="e">
        <f>AND(Birds!M7,"AAAAAFj//0w=")</f>
        <v>#VALUE!</v>
      </c>
      <c r="BZ42" t="e">
        <f>AND(Birds!N7,"AAAAAFj//00=")</f>
        <v>#VALUE!</v>
      </c>
      <c r="CA42" t="e">
        <f>AND(Birds!O7,"AAAAAFj//04=")</f>
        <v>#VALUE!</v>
      </c>
      <c r="CB42" t="e">
        <f>AND(Birds!P7,"AAAAAFj//08=")</f>
        <v>#VALUE!</v>
      </c>
      <c r="CC42" t="e">
        <f>AND(Birds!Q7,"AAAAAFj//1A=")</f>
        <v>#VALUE!</v>
      </c>
      <c r="CD42" t="e">
        <f>AND(Birds!R7,"AAAAAFj//1E=")</f>
        <v>#VALUE!</v>
      </c>
      <c r="CE42" t="e">
        <f>AND(Birds!S7,"AAAAAFj//1I=")</f>
        <v>#VALUE!</v>
      </c>
      <c r="CF42" t="e">
        <f>AND(Birds!T7,"AAAAAFj//1M=")</f>
        <v>#VALUE!</v>
      </c>
      <c r="CG42" t="e">
        <f>AND(Birds!U7,"AAAAAFj//1Q=")</f>
        <v>#VALUE!</v>
      </c>
      <c r="CH42" t="e">
        <f>AND(Birds!V7,"AAAAAFj//1U=")</f>
        <v>#VALUE!</v>
      </c>
      <c r="CI42" t="e">
        <f>AND(Birds!W7,"AAAAAFj//1Y=")</f>
        <v>#VALUE!</v>
      </c>
      <c r="CJ42" t="e">
        <f>AND(Birds!X7,"AAAAAFj//1c=")</f>
        <v>#VALUE!</v>
      </c>
      <c r="CK42" t="e">
        <f>AND(Birds!Y7,"AAAAAFj//1g=")</f>
        <v>#VALUE!</v>
      </c>
      <c r="CL42" t="e">
        <f>AND(Birds!Z7,"AAAAAFj//1k=")</f>
        <v>#VALUE!</v>
      </c>
      <c r="CM42" t="e">
        <f>AND(Birds!AA7,"AAAAAFj//1o=")</f>
        <v>#VALUE!</v>
      </c>
      <c r="CN42" t="e">
        <f>AND(Birds!AB7,"AAAAAFj//1s=")</f>
        <v>#VALUE!</v>
      </c>
      <c r="CO42" t="e">
        <f>AND(Birds!AC7,"AAAAAFj//1w=")</f>
        <v>#VALUE!</v>
      </c>
      <c r="CP42" t="e">
        <f>AND(Birds!AD7,"AAAAAFj//10=")</f>
        <v>#VALUE!</v>
      </c>
      <c r="CQ42" t="e">
        <f>AND(Birds!AE7,"AAAAAFj//14=")</f>
        <v>#VALUE!</v>
      </c>
      <c r="CR42" t="e">
        <f>AND(Birds!AF7,"AAAAAFj//18=")</f>
        <v>#VALUE!</v>
      </c>
      <c r="CS42" t="e">
        <f>AND(Birds!AG7,"AAAAAFj//2A=")</f>
        <v>#VALUE!</v>
      </c>
      <c r="CT42" t="e">
        <f>AND(Birds!AH7,"AAAAAFj//2E=")</f>
        <v>#VALUE!</v>
      </c>
      <c r="CU42" t="e">
        <f>AND(Birds!AI7,"AAAAAFj//2I=")</f>
        <v>#VALUE!</v>
      </c>
      <c r="CV42" t="e">
        <f>AND(Birds!AJ7,"AAAAAFj//2M=")</f>
        <v>#VALUE!</v>
      </c>
      <c r="CW42" t="e">
        <f>AND(Birds!AK7,"AAAAAFj//2Q=")</f>
        <v>#VALUE!</v>
      </c>
      <c r="CX42" t="e">
        <f>AND(Birds!AL7,"AAAAAFj//2U=")</f>
        <v>#VALUE!</v>
      </c>
      <c r="CY42" t="e">
        <f>AND(Birds!AM7,"AAAAAFj//2Y=")</f>
        <v>#VALUE!</v>
      </c>
      <c r="CZ42" t="e">
        <f>AND(Birds!AN7,"AAAAAFj//2c=")</f>
        <v>#VALUE!</v>
      </c>
      <c r="DA42" t="e">
        <f>AND(Birds!AO7,"AAAAAFj//2g=")</f>
        <v>#VALUE!</v>
      </c>
      <c r="DB42" t="e">
        <f>AND(Birds!AP7,"AAAAAFj//2k=")</f>
        <v>#VALUE!</v>
      </c>
      <c r="DC42" t="e">
        <f>AND(Birds!AQ7,"AAAAAFj//2o=")</f>
        <v>#VALUE!</v>
      </c>
      <c r="DD42" t="e">
        <f>AND(Birds!AR7,"AAAAAFj//2s=")</f>
        <v>#VALUE!</v>
      </c>
      <c r="DE42" t="e">
        <f>AND(Birds!AS7,"AAAAAFj//2w=")</f>
        <v>#VALUE!</v>
      </c>
      <c r="DF42" t="e">
        <f>AND(Birds!AT7,"AAAAAFj//20=")</f>
        <v>#VALUE!</v>
      </c>
      <c r="DG42" t="e">
        <f>AND(Birds!AU7,"AAAAAFj//24=")</f>
        <v>#VALUE!</v>
      </c>
      <c r="DH42" t="e">
        <f>AND(Birds!AV7,"AAAAAFj//28=")</f>
        <v>#VALUE!</v>
      </c>
      <c r="DI42" t="e">
        <f>AND(Birds!AW7,"AAAAAFj//3A=")</f>
        <v>#VALUE!</v>
      </c>
      <c r="DJ42" t="e">
        <f>AND(Birds!AX7,"AAAAAFj//3E=")</f>
        <v>#VALUE!</v>
      </c>
      <c r="DK42" t="e">
        <f>AND(Birds!AY7,"AAAAAFj//3I=")</f>
        <v>#VALUE!</v>
      </c>
      <c r="DL42" t="e">
        <f>AND(Birds!AZ7,"AAAAAFj//3M=")</f>
        <v>#VALUE!</v>
      </c>
      <c r="DM42" t="e">
        <f>AND(Birds!BA7,"AAAAAFj//3Q=")</f>
        <v>#VALUE!</v>
      </c>
      <c r="DN42" t="e">
        <f>AND(Birds!BB7,"AAAAAFj//3U=")</f>
        <v>#VALUE!</v>
      </c>
      <c r="DO42" t="e">
        <f>AND(Birds!BC7,"AAAAAFj//3Y=")</f>
        <v>#VALUE!</v>
      </c>
      <c r="DP42" t="e">
        <f>AND(Birds!BD7,"AAAAAFj//3c=")</f>
        <v>#VALUE!</v>
      </c>
      <c r="DQ42" t="e">
        <f>AND(Birds!BE7,"AAAAAFj//3g=")</f>
        <v>#VALUE!</v>
      </c>
      <c r="DR42" t="e">
        <f>AND(Birds!BF7,"AAAAAFj//3k=")</f>
        <v>#VALUE!</v>
      </c>
      <c r="DS42" t="e">
        <f>AND(Birds!BG7,"AAAAAFj//3o=")</f>
        <v>#VALUE!</v>
      </c>
      <c r="DT42" t="e">
        <f>AND(Birds!BH7,"AAAAAFj//3s=")</f>
        <v>#VALUE!</v>
      </c>
      <c r="DU42" t="e">
        <f>AND(Birds!BI7,"AAAAAFj//3w=")</f>
        <v>#VALUE!</v>
      </c>
      <c r="DV42" t="e">
        <f>AND(Birds!BJ7,"AAAAAFj//30=")</f>
        <v>#VALUE!</v>
      </c>
      <c r="DW42" t="e">
        <f>AND(Birds!BK7,"AAAAAFj//34=")</f>
        <v>#VALUE!</v>
      </c>
      <c r="DX42" t="e">
        <f>AND(Birds!BL7,"AAAAAFj//38=")</f>
        <v>#VALUE!</v>
      </c>
      <c r="DY42" t="e">
        <f>AND(Birds!BM7,"AAAAAFj//4A=")</f>
        <v>#VALUE!</v>
      </c>
      <c r="DZ42" t="e">
        <f>AND(Birds!BN7,"AAAAAFj//4E=")</f>
        <v>#VALUE!</v>
      </c>
      <c r="EA42" t="e">
        <f>AND(Birds!BO7,"AAAAAFj//4I=")</f>
        <v>#VALUE!</v>
      </c>
      <c r="EB42" t="e">
        <f>AND(Birds!BP7,"AAAAAFj//4M=")</f>
        <v>#VALUE!</v>
      </c>
      <c r="EC42" t="e">
        <f>AND(Birds!BQ7,"AAAAAFj//4Q=")</f>
        <v>#VALUE!</v>
      </c>
      <c r="ED42" t="e">
        <f>AND(Birds!BR7,"AAAAAFj//4U=")</f>
        <v>#VALUE!</v>
      </c>
      <c r="EE42" t="e">
        <f>AND(Birds!BS7,"AAAAAFj//4Y=")</f>
        <v>#VALUE!</v>
      </c>
      <c r="EF42" t="e">
        <f>AND(Birds!BT7,"AAAAAFj//4c=")</f>
        <v>#VALUE!</v>
      </c>
      <c r="EG42" t="e">
        <f>AND(Birds!BU7,"AAAAAFj//4g=")</f>
        <v>#VALUE!</v>
      </c>
      <c r="EH42" t="e">
        <f>AND(Birds!BV7,"AAAAAFj//4k=")</f>
        <v>#VALUE!</v>
      </c>
      <c r="EI42" t="e">
        <f>AND(Birds!BW7,"AAAAAFj//4o=")</f>
        <v>#VALUE!</v>
      </c>
      <c r="EJ42" t="e">
        <f>AND(Birds!BX7,"AAAAAFj//4s=")</f>
        <v>#VALUE!</v>
      </c>
      <c r="EK42" t="e">
        <f>AND(Birds!BY7,"AAAAAFj//4w=")</f>
        <v>#VALUE!</v>
      </c>
      <c r="EL42" t="e">
        <f>AND(Birds!BZ7,"AAAAAFj//40=")</f>
        <v>#VALUE!</v>
      </c>
      <c r="EM42" t="e">
        <f>AND(Birds!CA7,"AAAAAFj//44=")</f>
        <v>#VALUE!</v>
      </c>
      <c r="EN42" t="e">
        <f>AND(Birds!CB7,"AAAAAFj//48=")</f>
        <v>#VALUE!</v>
      </c>
      <c r="EO42" t="e">
        <f>AND(Birds!CC7,"AAAAAFj//5A=")</f>
        <v>#VALUE!</v>
      </c>
      <c r="EP42" t="e">
        <f>AND(Birds!CD7,"AAAAAFj//5E=")</f>
        <v>#VALUE!</v>
      </c>
      <c r="EQ42" t="e">
        <f>AND(Birds!CE7,"AAAAAFj//5I=")</f>
        <v>#VALUE!</v>
      </c>
      <c r="ER42" t="e">
        <f>AND(Birds!CF7,"AAAAAFj//5M=")</f>
        <v>#VALUE!</v>
      </c>
      <c r="ES42" t="e">
        <f>AND(Birds!CG7,"AAAAAFj//5Q=")</f>
        <v>#VALUE!</v>
      </c>
      <c r="ET42" t="e">
        <f>AND(Birds!CH7,"AAAAAFj//5U=")</f>
        <v>#VALUE!</v>
      </c>
      <c r="EU42" t="e">
        <f>AND(Birds!CI7,"AAAAAFj//5Y=")</f>
        <v>#VALUE!</v>
      </c>
      <c r="EV42" t="e">
        <f>AND(Birds!CJ7,"AAAAAFj//5c=")</f>
        <v>#VALUE!</v>
      </c>
      <c r="EW42" t="e">
        <f>AND(Birds!CK7,"AAAAAFj//5g=")</f>
        <v>#VALUE!</v>
      </c>
      <c r="EX42" t="e">
        <f>AND(Birds!CL7,"AAAAAFj//5k=")</f>
        <v>#VALUE!</v>
      </c>
      <c r="EY42" t="e">
        <f>AND(Birds!CM7,"AAAAAFj//5o=")</f>
        <v>#VALUE!</v>
      </c>
      <c r="EZ42" t="e">
        <f>AND(Birds!CN7,"AAAAAFj//5s=")</f>
        <v>#VALUE!</v>
      </c>
      <c r="FA42" t="e">
        <f>AND(Birds!CO7,"AAAAAFj//5w=")</f>
        <v>#VALUE!</v>
      </c>
      <c r="FB42" t="e">
        <f>AND(Birds!CP7,"AAAAAFj//50=")</f>
        <v>#VALUE!</v>
      </c>
      <c r="FC42" t="e">
        <f>AND(Birds!CQ7,"AAAAAFj//54=")</f>
        <v>#VALUE!</v>
      </c>
      <c r="FD42" t="e">
        <f>AND(Birds!CR7,"AAAAAFj//58=")</f>
        <v>#VALUE!</v>
      </c>
      <c r="FE42" t="e">
        <f>AND(Birds!CS7,"AAAAAFj//6A=")</f>
        <v>#VALUE!</v>
      </c>
      <c r="FF42" t="e">
        <f>AND(Birds!CT7,"AAAAAFj//6E=")</f>
        <v>#VALUE!</v>
      </c>
      <c r="FG42" t="e">
        <f>AND(Birds!CU7,"AAAAAFj//6I=")</f>
        <v>#VALUE!</v>
      </c>
      <c r="FH42" t="e">
        <f>AND(Birds!CV7,"AAAAAFj//6M=")</f>
        <v>#VALUE!</v>
      </c>
      <c r="FI42" t="e">
        <f>AND(Birds!CW7,"AAAAAFj//6Q=")</f>
        <v>#VALUE!</v>
      </c>
      <c r="FJ42" t="e">
        <f>AND(Birds!CX7,"AAAAAFj//6U=")</f>
        <v>#VALUE!</v>
      </c>
      <c r="FK42" t="e">
        <f>AND(Birds!CY7,"AAAAAFj//6Y=")</f>
        <v>#VALUE!</v>
      </c>
      <c r="FL42" t="e">
        <f>AND(Birds!CZ7,"AAAAAFj//6c=")</f>
        <v>#VALUE!</v>
      </c>
      <c r="FM42" t="e">
        <f>AND(Birds!DA7,"AAAAAFj//6g=")</f>
        <v>#VALUE!</v>
      </c>
      <c r="FN42" t="e">
        <f>AND(Birds!DB7,"AAAAAFj//6k=")</f>
        <v>#VALUE!</v>
      </c>
      <c r="FO42" t="e">
        <f>AND(Birds!DC7,"AAAAAFj//6o=")</f>
        <v>#VALUE!</v>
      </c>
      <c r="FP42" t="e">
        <f>AND(Birds!DD7,"AAAAAFj//6s=")</f>
        <v>#VALUE!</v>
      </c>
      <c r="FQ42" t="e">
        <f>AND(Birds!DE7,"AAAAAFj//6w=")</f>
        <v>#VALUE!</v>
      </c>
      <c r="FR42" t="e">
        <f>AND(Birds!DF7,"AAAAAFj//60=")</f>
        <v>#VALUE!</v>
      </c>
      <c r="FS42" t="e">
        <f>AND(Birds!DG7,"AAAAAFj//64=")</f>
        <v>#VALUE!</v>
      </c>
      <c r="FT42" t="e">
        <f>AND(Birds!DH7,"AAAAAFj//68=")</f>
        <v>#VALUE!</v>
      </c>
      <c r="FU42" t="e">
        <f>AND(Birds!DI7,"AAAAAFj//7A=")</f>
        <v>#VALUE!</v>
      </c>
      <c r="FV42" t="e">
        <f>AND(Birds!DJ7,"AAAAAFj//7E=")</f>
        <v>#VALUE!</v>
      </c>
      <c r="FW42" t="e">
        <f>AND(Birds!DK7,"AAAAAFj//7I=")</f>
        <v>#VALUE!</v>
      </c>
      <c r="FX42" t="e">
        <f>AND(Birds!DL7,"AAAAAFj//7M=")</f>
        <v>#VALUE!</v>
      </c>
      <c r="FY42" t="e">
        <f>AND(Birds!DM7,"AAAAAFj//7Q=")</f>
        <v>#VALUE!</v>
      </c>
      <c r="FZ42" t="e">
        <f>AND(Birds!DN7,"AAAAAFj//7U=")</f>
        <v>#VALUE!</v>
      </c>
      <c r="GA42" t="e">
        <f>AND(Birds!DO7,"AAAAAFj//7Y=")</f>
        <v>#VALUE!</v>
      </c>
      <c r="GB42" t="e">
        <f>AND(Birds!DP7,"AAAAAFj//7c=")</f>
        <v>#VALUE!</v>
      </c>
      <c r="GC42" t="e">
        <f>AND(Birds!DQ7,"AAAAAFj//7g=")</f>
        <v>#VALUE!</v>
      </c>
      <c r="GD42" t="e">
        <f>AND(Birds!DR7,"AAAAAFj//7k=")</f>
        <v>#VALUE!</v>
      </c>
      <c r="GE42" t="e">
        <f>AND(Birds!DS7,"AAAAAFj//7o=")</f>
        <v>#VALUE!</v>
      </c>
      <c r="GF42" t="e">
        <f>AND(Birds!DT7,"AAAAAFj//7s=")</f>
        <v>#VALUE!</v>
      </c>
      <c r="GG42" t="e">
        <f>AND(Birds!DU7,"AAAAAFj//7w=")</f>
        <v>#VALUE!</v>
      </c>
      <c r="GH42" t="e">
        <f>AND(Birds!DV7,"AAAAAFj//70=")</f>
        <v>#VALUE!</v>
      </c>
      <c r="GI42" t="e">
        <f>AND(Birds!DW7,"AAAAAFj//74=")</f>
        <v>#VALUE!</v>
      </c>
      <c r="GJ42" t="e">
        <f>AND(Birds!DX7,"AAAAAFj//78=")</f>
        <v>#VALUE!</v>
      </c>
      <c r="GK42" t="e">
        <f>AND(Birds!DY7,"AAAAAFj//8A=")</f>
        <v>#VALUE!</v>
      </c>
      <c r="GL42" t="e">
        <f>AND(Birds!DZ7,"AAAAAFj//8E=")</f>
        <v>#VALUE!</v>
      </c>
      <c r="GM42" t="e">
        <f>AND(Birds!EA7,"AAAAAFj//8I=")</f>
        <v>#VALUE!</v>
      </c>
      <c r="GN42" t="e">
        <f>AND(Birds!EB7,"AAAAAFj//8M=")</f>
        <v>#VALUE!</v>
      </c>
      <c r="GO42" t="e">
        <f>AND(Birds!EC7,"AAAAAFj//8Q=")</f>
        <v>#VALUE!</v>
      </c>
      <c r="GP42" t="e">
        <f>AND(Birds!ED7,"AAAAAFj//8U=")</f>
        <v>#VALUE!</v>
      </c>
      <c r="GQ42" t="e">
        <f>AND(Birds!EE7,"AAAAAFj//8Y=")</f>
        <v>#VALUE!</v>
      </c>
      <c r="GR42" t="e">
        <f>AND(Birds!EF7,"AAAAAFj//8c=")</f>
        <v>#VALUE!</v>
      </c>
      <c r="GS42" t="e">
        <f>AND(Birds!EG7,"AAAAAFj//8g=")</f>
        <v>#VALUE!</v>
      </c>
      <c r="GT42" t="e">
        <f>AND(Birds!EH7,"AAAAAFj//8k=")</f>
        <v>#VALUE!</v>
      </c>
      <c r="GU42" t="e">
        <f>AND(Birds!EI7,"AAAAAFj//8o=")</f>
        <v>#VALUE!</v>
      </c>
      <c r="GV42" t="e">
        <f>AND(Birds!EJ7,"AAAAAFj//8s=")</f>
        <v>#VALUE!</v>
      </c>
      <c r="GW42" t="e">
        <f>AND(Birds!EK7,"AAAAAFj//8w=")</f>
        <v>#VALUE!</v>
      </c>
      <c r="GX42" t="e">
        <f>AND(Birds!EL7,"AAAAAFj//80=")</f>
        <v>#VALUE!</v>
      </c>
      <c r="GY42" t="e">
        <f>AND(Birds!EM7,"AAAAAFj//84=")</f>
        <v>#VALUE!</v>
      </c>
      <c r="GZ42" t="e">
        <f>AND(Birds!EN7,"AAAAAFj//88=")</f>
        <v>#VALUE!</v>
      </c>
      <c r="HA42" t="e">
        <f>AND(Birds!EO7,"AAAAAFj//9A=")</f>
        <v>#VALUE!</v>
      </c>
      <c r="HB42" t="e">
        <f>AND(Birds!EP7,"AAAAAFj//9E=")</f>
        <v>#VALUE!</v>
      </c>
      <c r="HC42" t="e">
        <f>AND(Birds!EQ7,"AAAAAFj//9I=")</f>
        <v>#VALUE!</v>
      </c>
      <c r="HD42" t="e">
        <f>AND(Birds!ER7,"AAAAAFj//9M=")</f>
        <v>#VALUE!</v>
      </c>
      <c r="HE42" t="e">
        <f>AND(Birds!ES7,"AAAAAFj//9Q=")</f>
        <v>#VALUE!</v>
      </c>
      <c r="HF42" t="e">
        <f>AND(Birds!ET7,"AAAAAFj//9U=")</f>
        <v>#VALUE!</v>
      </c>
      <c r="HG42" t="e">
        <f>AND(Birds!EU7,"AAAAAFj//9Y=")</f>
        <v>#VALUE!</v>
      </c>
      <c r="HH42" t="e">
        <f>AND(Birds!EV7,"AAAAAFj//9c=")</f>
        <v>#VALUE!</v>
      </c>
      <c r="HI42" t="e">
        <f>AND(Birds!EW7,"AAAAAFj//9g=")</f>
        <v>#VALUE!</v>
      </c>
      <c r="HJ42" t="e">
        <f>AND(Birds!EX7,"AAAAAFj//9k=")</f>
        <v>#VALUE!</v>
      </c>
      <c r="HK42" t="e">
        <f>AND(Birds!EY7,"AAAAAFj//9o=")</f>
        <v>#VALUE!</v>
      </c>
      <c r="HL42" t="e">
        <f>AND(Birds!EZ7,"AAAAAFj//9s=")</f>
        <v>#VALUE!</v>
      </c>
      <c r="HM42" t="e">
        <f>AND(Birds!FA7,"AAAAAFj//9w=")</f>
        <v>#VALUE!</v>
      </c>
      <c r="HN42" t="e">
        <f>AND(Birds!FB7,"AAAAAFj//90=")</f>
        <v>#VALUE!</v>
      </c>
      <c r="HO42" t="e">
        <f>AND(Birds!FC7,"AAAAAFj//94=")</f>
        <v>#VALUE!</v>
      </c>
      <c r="HP42" t="e">
        <f>AND(Birds!FD7,"AAAAAFj//98=")</f>
        <v>#VALUE!</v>
      </c>
      <c r="HQ42" t="e">
        <f>AND(Birds!FE7,"AAAAAFj//+A=")</f>
        <v>#VALUE!</v>
      </c>
      <c r="HR42" t="e">
        <f>AND(Birds!FF7,"AAAAAFj//+E=")</f>
        <v>#VALUE!</v>
      </c>
      <c r="HS42" t="e">
        <f>AND(Birds!FG7,"AAAAAFj//+I=")</f>
        <v>#VALUE!</v>
      </c>
      <c r="HT42" t="e">
        <f>AND(Birds!FH7,"AAAAAFj//+M=")</f>
        <v>#VALUE!</v>
      </c>
      <c r="HU42" t="e">
        <f>AND(Birds!FI7,"AAAAAFj//+Q=")</f>
        <v>#VALUE!</v>
      </c>
      <c r="HV42" t="e">
        <f>AND(Birds!FJ7,"AAAAAFj//+U=")</f>
        <v>#VALUE!</v>
      </c>
      <c r="HW42" t="e">
        <f>AND(Birds!FK7,"AAAAAFj//+Y=")</f>
        <v>#VALUE!</v>
      </c>
      <c r="HX42" t="e">
        <f>AND(Birds!FL7,"AAAAAFj//+c=")</f>
        <v>#VALUE!</v>
      </c>
      <c r="HY42" t="e">
        <f>AND(Birds!FM7,"AAAAAFj//+g=")</f>
        <v>#VALUE!</v>
      </c>
      <c r="HZ42" t="e">
        <f>AND(Birds!FN7,"AAAAAFj//+k=")</f>
        <v>#VALUE!</v>
      </c>
      <c r="IA42" t="e">
        <f>AND(Birds!FO7,"AAAAAFj//+o=")</f>
        <v>#VALUE!</v>
      </c>
      <c r="IB42" t="e">
        <f>AND(Birds!FP7,"AAAAAFj//+s=")</f>
        <v>#VALUE!</v>
      </c>
      <c r="IC42" t="e">
        <f>AND(Birds!FQ7,"AAAAAFj//+w=")</f>
        <v>#VALUE!</v>
      </c>
      <c r="ID42" t="e">
        <f>AND(Birds!FR7,"AAAAAFj//+0=")</f>
        <v>#VALUE!</v>
      </c>
      <c r="IE42" t="e">
        <f>AND(Birds!FS7,"AAAAAFj//+4=")</f>
        <v>#VALUE!</v>
      </c>
      <c r="IF42" t="e">
        <f>AND(Birds!FT7,"AAAAAFj//+8=")</f>
        <v>#VALUE!</v>
      </c>
      <c r="IG42" t="e">
        <f>AND(Birds!FU7,"AAAAAFj///A=")</f>
        <v>#VALUE!</v>
      </c>
      <c r="IH42" t="e">
        <f>AND(Birds!FV7,"AAAAAFj///E=")</f>
        <v>#VALUE!</v>
      </c>
      <c r="II42" t="e">
        <f>AND(Birds!FW7,"AAAAAFj///I=")</f>
        <v>#VALUE!</v>
      </c>
      <c r="IJ42" t="e">
        <f>AND(Birds!FX7,"AAAAAFj///M=")</f>
        <v>#VALUE!</v>
      </c>
      <c r="IK42" t="e">
        <f>AND(Birds!FY7,"AAAAAFj///Q=")</f>
        <v>#VALUE!</v>
      </c>
      <c r="IL42" t="e">
        <f>AND(Birds!FZ7,"AAAAAFj///U=")</f>
        <v>#VALUE!</v>
      </c>
      <c r="IM42" t="e">
        <f>AND(Birds!GA7,"AAAAAFj///Y=")</f>
        <v>#VALUE!</v>
      </c>
      <c r="IN42" t="e">
        <f>AND(Birds!GB7,"AAAAAFj///c=")</f>
        <v>#VALUE!</v>
      </c>
      <c r="IO42" t="e">
        <f>AND(Birds!GC7,"AAAAAFj///g=")</f>
        <v>#VALUE!</v>
      </c>
      <c r="IP42" t="e">
        <f>AND(Birds!GD7,"AAAAAFj///k=")</f>
        <v>#VALUE!</v>
      </c>
      <c r="IQ42" t="e">
        <f>AND(Birds!GE7,"AAAAAFj///o=")</f>
        <v>#VALUE!</v>
      </c>
      <c r="IR42" t="e">
        <f>AND(Birds!GF7,"AAAAAFj///s=")</f>
        <v>#VALUE!</v>
      </c>
      <c r="IS42" t="e">
        <f>AND(Birds!GG7,"AAAAAFj///w=")</f>
        <v>#VALUE!</v>
      </c>
      <c r="IT42" t="e">
        <f>AND(Birds!GH7,"AAAAAFj///0=")</f>
        <v>#VALUE!</v>
      </c>
      <c r="IU42" t="e">
        <f>AND(Birds!GI7,"AAAAAFj///4=")</f>
        <v>#VALUE!</v>
      </c>
      <c r="IV42" t="e">
        <f>AND(Birds!GJ7,"AAAAAFj///8=")</f>
        <v>#VALUE!</v>
      </c>
    </row>
    <row r="43" spans="1:256">
      <c r="A43" t="e">
        <f>AND(Birds!GK7,"AAAAAHP/TwA=")</f>
        <v>#VALUE!</v>
      </c>
      <c r="B43" t="e">
        <f>AND(Birds!GL7,"AAAAAHP/TwE=")</f>
        <v>#VALUE!</v>
      </c>
      <c r="C43" t="e">
        <f>AND(Birds!GM7,"AAAAAHP/TwI=")</f>
        <v>#VALUE!</v>
      </c>
      <c r="D43" t="e">
        <f>IF(Birds!8:8,"AAAAAHP/TwM=",0)</f>
        <v>#VALUE!</v>
      </c>
      <c r="E43" t="e">
        <f>AND(Birds!A8,"AAAAAHP/TwQ=")</f>
        <v>#VALUE!</v>
      </c>
      <c r="F43" t="e">
        <f>AND(Birds!B8,"AAAAAHP/TwU=")</f>
        <v>#VALUE!</v>
      </c>
      <c r="G43" t="e">
        <f>AND(Birds!C8,"AAAAAHP/TwY=")</f>
        <v>#VALUE!</v>
      </c>
      <c r="H43" t="e">
        <f>AND(Birds!D8,"AAAAAHP/Twc=")</f>
        <v>#VALUE!</v>
      </c>
      <c r="I43" t="e">
        <f>AND(Birds!E8,"AAAAAHP/Twg=")</f>
        <v>#VALUE!</v>
      </c>
      <c r="J43" t="e">
        <f>AND(Birds!F8,"AAAAAHP/Twk=")</f>
        <v>#VALUE!</v>
      </c>
      <c r="K43" t="e">
        <f>AND(Birds!G8,"AAAAAHP/Two=")</f>
        <v>#VALUE!</v>
      </c>
      <c r="L43" t="e">
        <f>AND(Birds!H8,"AAAAAHP/Tws=")</f>
        <v>#VALUE!</v>
      </c>
      <c r="M43" t="e">
        <f>AND(Birds!I8,"AAAAAHP/Tww=")</f>
        <v>#VALUE!</v>
      </c>
      <c r="N43" t="e">
        <f>AND(Birds!J8,"AAAAAHP/Tw0=")</f>
        <v>#VALUE!</v>
      </c>
      <c r="O43" t="e">
        <f>AND(Birds!K8,"AAAAAHP/Tw4=")</f>
        <v>#VALUE!</v>
      </c>
      <c r="P43" t="e">
        <f>AND(Birds!L8,"AAAAAHP/Tw8=")</f>
        <v>#VALUE!</v>
      </c>
      <c r="Q43" t="e">
        <f>AND(Birds!M8,"AAAAAHP/TxA=")</f>
        <v>#VALUE!</v>
      </c>
      <c r="R43" t="e">
        <f>AND(Birds!N8,"AAAAAHP/TxE=")</f>
        <v>#VALUE!</v>
      </c>
      <c r="S43" t="e">
        <f>AND(Birds!O8,"AAAAAHP/TxI=")</f>
        <v>#VALUE!</v>
      </c>
      <c r="T43" t="e">
        <f>AND(Birds!P8,"AAAAAHP/TxM=")</f>
        <v>#VALUE!</v>
      </c>
      <c r="U43" t="e">
        <f>AND(Birds!Q8,"AAAAAHP/TxQ=")</f>
        <v>#VALUE!</v>
      </c>
      <c r="V43" t="e">
        <f>AND(Birds!R8,"AAAAAHP/TxU=")</f>
        <v>#VALUE!</v>
      </c>
      <c r="W43" t="e">
        <f>AND(Birds!S8,"AAAAAHP/TxY=")</f>
        <v>#VALUE!</v>
      </c>
      <c r="X43" t="e">
        <f>AND(Birds!T8,"AAAAAHP/Txc=")</f>
        <v>#VALUE!</v>
      </c>
      <c r="Y43" t="e">
        <f>AND(Birds!U8,"AAAAAHP/Txg=")</f>
        <v>#VALUE!</v>
      </c>
      <c r="Z43" t="e">
        <f>AND(Birds!V8,"AAAAAHP/Txk=")</f>
        <v>#VALUE!</v>
      </c>
      <c r="AA43" t="e">
        <f>AND(Birds!W8,"AAAAAHP/Txo=")</f>
        <v>#VALUE!</v>
      </c>
      <c r="AB43" t="e">
        <f>AND(Birds!X8,"AAAAAHP/Txs=")</f>
        <v>#VALUE!</v>
      </c>
      <c r="AC43" t="e">
        <f>AND(Birds!Y8,"AAAAAHP/Txw=")</f>
        <v>#VALUE!</v>
      </c>
      <c r="AD43" t="e">
        <f>AND(Birds!Z8,"AAAAAHP/Tx0=")</f>
        <v>#VALUE!</v>
      </c>
      <c r="AE43" t="e">
        <f>AND(Birds!AA8,"AAAAAHP/Tx4=")</f>
        <v>#VALUE!</v>
      </c>
      <c r="AF43" t="e">
        <f>AND(Birds!AB8,"AAAAAHP/Tx8=")</f>
        <v>#VALUE!</v>
      </c>
      <c r="AG43" t="e">
        <f>AND(Birds!AC8,"AAAAAHP/TyA=")</f>
        <v>#VALUE!</v>
      </c>
      <c r="AH43" t="e">
        <f>AND(Birds!AD8,"AAAAAHP/TyE=")</f>
        <v>#VALUE!</v>
      </c>
      <c r="AI43" t="e">
        <f>AND(Birds!AE8,"AAAAAHP/TyI=")</f>
        <v>#VALUE!</v>
      </c>
      <c r="AJ43" t="e">
        <f>AND(Birds!AF8,"AAAAAHP/TyM=")</f>
        <v>#VALUE!</v>
      </c>
      <c r="AK43" t="e">
        <f>AND(Birds!AG8,"AAAAAHP/TyQ=")</f>
        <v>#VALUE!</v>
      </c>
      <c r="AL43" t="e">
        <f>AND(Birds!AH8,"AAAAAHP/TyU=")</f>
        <v>#VALUE!</v>
      </c>
      <c r="AM43" t="e">
        <f>AND(Birds!AI8,"AAAAAHP/TyY=")</f>
        <v>#VALUE!</v>
      </c>
      <c r="AN43" t="e">
        <f>AND(Birds!AJ8,"AAAAAHP/Tyc=")</f>
        <v>#VALUE!</v>
      </c>
      <c r="AO43" t="e">
        <f>AND(Birds!AK8,"AAAAAHP/Tyg=")</f>
        <v>#VALUE!</v>
      </c>
      <c r="AP43" t="e">
        <f>AND(Birds!AL8,"AAAAAHP/Tyk=")</f>
        <v>#VALUE!</v>
      </c>
      <c r="AQ43" t="e">
        <f>AND(Birds!AM8,"AAAAAHP/Tyo=")</f>
        <v>#VALUE!</v>
      </c>
      <c r="AR43" t="e">
        <f>AND(Birds!AN8,"AAAAAHP/Tys=")</f>
        <v>#VALUE!</v>
      </c>
      <c r="AS43" t="e">
        <f>AND(Birds!AO8,"AAAAAHP/Tyw=")</f>
        <v>#VALUE!</v>
      </c>
      <c r="AT43" t="e">
        <f>AND(Birds!AP8,"AAAAAHP/Ty0=")</f>
        <v>#VALUE!</v>
      </c>
      <c r="AU43" t="e">
        <f>AND(Birds!AQ8,"AAAAAHP/Ty4=")</f>
        <v>#VALUE!</v>
      </c>
      <c r="AV43" t="e">
        <f>AND(Birds!AR8,"AAAAAHP/Ty8=")</f>
        <v>#VALUE!</v>
      </c>
      <c r="AW43" t="e">
        <f>AND(Birds!AS8,"AAAAAHP/TzA=")</f>
        <v>#VALUE!</v>
      </c>
      <c r="AX43" t="e">
        <f>AND(Birds!AT8,"AAAAAHP/TzE=")</f>
        <v>#VALUE!</v>
      </c>
      <c r="AY43" t="e">
        <f>AND(Birds!AU8,"AAAAAHP/TzI=")</f>
        <v>#VALUE!</v>
      </c>
      <c r="AZ43" t="e">
        <f>AND(Birds!AV8,"AAAAAHP/TzM=")</f>
        <v>#VALUE!</v>
      </c>
      <c r="BA43" t="e">
        <f>AND(Birds!AW8,"AAAAAHP/TzQ=")</f>
        <v>#VALUE!</v>
      </c>
      <c r="BB43" t="e">
        <f>AND(Birds!AX8,"AAAAAHP/TzU=")</f>
        <v>#VALUE!</v>
      </c>
      <c r="BC43" t="e">
        <f>AND(Birds!AY8,"AAAAAHP/TzY=")</f>
        <v>#VALUE!</v>
      </c>
      <c r="BD43" t="e">
        <f>AND(Birds!AZ8,"AAAAAHP/Tzc=")</f>
        <v>#VALUE!</v>
      </c>
      <c r="BE43" t="e">
        <f>AND(Birds!BA8,"AAAAAHP/Tzg=")</f>
        <v>#VALUE!</v>
      </c>
      <c r="BF43" t="e">
        <f>AND(Birds!BB8,"AAAAAHP/Tzk=")</f>
        <v>#VALUE!</v>
      </c>
      <c r="BG43" t="e">
        <f>AND(Birds!BC8,"AAAAAHP/Tzo=")</f>
        <v>#VALUE!</v>
      </c>
      <c r="BH43" t="e">
        <f>AND(Birds!BD8,"AAAAAHP/Tzs=")</f>
        <v>#VALUE!</v>
      </c>
      <c r="BI43" t="e">
        <f>AND(Birds!BE8,"AAAAAHP/Tzw=")</f>
        <v>#VALUE!</v>
      </c>
      <c r="BJ43" t="e">
        <f>AND(Birds!BF8,"AAAAAHP/Tz0=")</f>
        <v>#VALUE!</v>
      </c>
      <c r="BK43" t="e">
        <f>AND(Birds!BG8,"AAAAAHP/Tz4=")</f>
        <v>#VALUE!</v>
      </c>
      <c r="BL43" t="e">
        <f>AND(Birds!BH8,"AAAAAHP/Tz8=")</f>
        <v>#VALUE!</v>
      </c>
      <c r="BM43" t="e">
        <f>AND(Birds!BI8,"AAAAAHP/T0A=")</f>
        <v>#VALUE!</v>
      </c>
      <c r="BN43" t="e">
        <f>AND(Birds!BJ8,"AAAAAHP/T0E=")</f>
        <v>#VALUE!</v>
      </c>
      <c r="BO43" t="e">
        <f>AND(Birds!BK8,"AAAAAHP/T0I=")</f>
        <v>#VALUE!</v>
      </c>
      <c r="BP43" t="e">
        <f>AND(Birds!BL8,"AAAAAHP/T0M=")</f>
        <v>#VALUE!</v>
      </c>
      <c r="BQ43" t="e">
        <f>AND(Birds!BM8,"AAAAAHP/T0Q=")</f>
        <v>#VALUE!</v>
      </c>
      <c r="BR43" t="e">
        <f>AND(Birds!BN8,"AAAAAHP/T0U=")</f>
        <v>#VALUE!</v>
      </c>
      <c r="BS43" t="e">
        <f>AND(Birds!BO8,"AAAAAHP/T0Y=")</f>
        <v>#VALUE!</v>
      </c>
      <c r="BT43" t="e">
        <f>AND(Birds!BP8,"AAAAAHP/T0c=")</f>
        <v>#VALUE!</v>
      </c>
      <c r="BU43" t="e">
        <f>AND(Birds!BQ8,"AAAAAHP/T0g=")</f>
        <v>#VALUE!</v>
      </c>
      <c r="BV43" t="e">
        <f>AND(Birds!BR8,"AAAAAHP/T0k=")</f>
        <v>#VALUE!</v>
      </c>
      <c r="BW43" t="e">
        <f>AND(Birds!BS8,"AAAAAHP/T0o=")</f>
        <v>#VALUE!</v>
      </c>
      <c r="BX43" t="e">
        <f>AND(Birds!BT8,"AAAAAHP/T0s=")</f>
        <v>#VALUE!</v>
      </c>
      <c r="BY43" t="e">
        <f>AND(Birds!BU8,"AAAAAHP/T0w=")</f>
        <v>#VALUE!</v>
      </c>
      <c r="BZ43" t="e">
        <f>AND(Birds!BV8,"AAAAAHP/T00=")</f>
        <v>#VALUE!</v>
      </c>
      <c r="CA43" t="e">
        <f>AND(Birds!BW8,"AAAAAHP/T04=")</f>
        <v>#VALUE!</v>
      </c>
      <c r="CB43" t="e">
        <f>AND(Birds!BX8,"AAAAAHP/T08=")</f>
        <v>#VALUE!</v>
      </c>
      <c r="CC43" t="e">
        <f>AND(Birds!BY8,"AAAAAHP/T1A=")</f>
        <v>#VALUE!</v>
      </c>
      <c r="CD43" t="e">
        <f>AND(Birds!BZ8,"AAAAAHP/T1E=")</f>
        <v>#VALUE!</v>
      </c>
      <c r="CE43" t="e">
        <f>AND(Birds!CA8,"AAAAAHP/T1I=")</f>
        <v>#VALUE!</v>
      </c>
      <c r="CF43" t="e">
        <f>AND(Birds!CB8,"AAAAAHP/T1M=")</f>
        <v>#VALUE!</v>
      </c>
      <c r="CG43" t="e">
        <f>AND(Birds!CC8,"AAAAAHP/T1Q=")</f>
        <v>#VALUE!</v>
      </c>
      <c r="CH43" t="e">
        <f>AND(Birds!CD8,"AAAAAHP/T1U=")</f>
        <v>#VALUE!</v>
      </c>
      <c r="CI43" t="e">
        <f>AND(Birds!CE8,"AAAAAHP/T1Y=")</f>
        <v>#VALUE!</v>
      </c>
      <c r="CJ43" t="e">
        <f>AND(Birds!CF8,"AAAAAHP/T1c=")</f>
        <v>#VALUE!</v>
      </c>
      <c r="CK43" t="e">
        <f>AND(Birds!CG8,"AAAAAHP/T1g=")</f>
        <v>#VALUE!</v>
      </c>
      <c r="CL43" t="e">
        <f>AND(Birds!CH8,"AAAAAHP/T1k=")</f>
        <v>#VALUE!</v>
      </c>
      <c r="CM43" t="e">
        <f>AND(Birds!CI8,"AAAAAHP/T1o=")</f>
        <v>#VALUE!</v>
      </c>
      <c r="CN43" t="e">
        <f>AND(Birds!CJ8,"AAAAAHP/T1s=")</f>
        <v>#VALUE!</v>
      </c>
      <c r="CO43" t="e">
        <f>AND(Birds!CK8,"AAAAAHP/T1w=")</f>
        <v>#VALUE!</v>
      </c>
      <c r="CP43" t="e">
        <f>AND(Birds!CL8,"AAAAAHP/T10=")</f>
        <v>#VALUE!</v>
      </c>
      <c r="CQ43" t="e">
        <f>AND(Birds!CM8,"AAAAAHP/T14=")</f>
        <v>#VALUE!</v>
      </c>
      <c r="CR43" t="e">
        <f>AND(Birds!CN8,"AAAAAHP/T18=")</f>
        <v>#VALUE!</v>
      </c>
      <c r="CS43" t="e">
        <f>AND(Birds!CO8,"AAAAAHP/T2A=")</f>
        <v>#VALUE!</v>
      </c>
      <c r="CT43" t="e">
        <f>AND(Birds!CP8,"AAAAAHP/T2E=")</f>
        <v>#VALUE!</v>
      </c>
      <c r="CU43" t="e">
        <f>AND(Birds!CQ8,"AAAAAHP/T2I=")</f>
        <v>#VALUE!</v>
      </c>
      <c r="CV43" t="e">
        <f>AND(Birds!CR8,"AAAAAHP/T2M=")</f>
        <v>#VALUE!</v>
      </c>
      <c r="CW43" t="e">
        <f>AND(Birds!CS8,"AAAAAHP/T2Q=")</f>
        <v>#VALUE!</v>
      </c>
      <c r="CX43" t="e">
        <f>AND(Birds!CT8,"AAAAAHP/T2U=")</f>
        <v>#VALUE!</v>
      </c>
      <c r="CY43" t="e">
        <f>AND(Birds!CU8,"AAAAAHP/T2Y=")</f>
        <v>#VALUE!</v>
      </c>
      <c r="CZ43" t="e">
        <f>AND(Birds!CV8,"AAAAAHP/T2c=")</f>
        <v>#VALUE!</v>
      </c>
      <c r="DA43" t="e">
        <f>AND(Birds!CW8,"AAAAAHP/T2g=")</f>
        <v>#VALUE!</v>
      </c>
      <c r="DB43" t="e">
        <f>AND(Birds!CX8,"AAAAAHP/T2k=")</f>
        <v>#VALUE!</v>
      </c>
      <c r="DC43" t="e">
        <f>AND(Birds!CY8,"AAAAAHP/T2o=")</f>
        <v>#VALUE!</v>
      </c>
      <c r="DD43" t="e">
        <f>AND(Birds!CZ8,"AAAAAHP/T2s=")</f>
        <v>#VALUE!</v>
      </c>
      <c r="DE43" t="e">
        <f>AND(Birds!DA8,"AAAAAHP/T2w=")</f>
        <v>#VALUE!</v>
      </c>
      <c r="DF43" t="e">
        <f>AND(Birds!DB8,"AAAAAHP/T20=")</f>
        <v>#VALUE!</v>
      </c>
      <c r="DG43" t="e">
        <f>AND(Birds!DC8,"AAAAAHP/T24=")</f>
        <v>#VALUE!</v>
      </c>
      <c r="DH43" t="e">
        <f>AND(Birds!DD8,"AAAAAHP/T28=")</f>
        <v>#VALUE!</v>
      </c>
      <c r="DI43" t="e">
        <f>AND(Birds!DE8,"AAAAAHP/T3A=")</f>
        <v>#VALUE!</v>
      </c>
      <c r="DJ43" t="e">
        <f>AND(Birds!DF8,"AAAAAHP/T3E=")</f>
        <v>#VALUE!</v>
      </c>
      <c r="DK43" t="e">
        <f>AND(Birds!DG8,"AAAAAHP/T3I=")</f>
        <v>#VALUE!</v>
      </c>
      <c r="DL43" t="e">
        <f>AND(Birds!DH8,"AAAAAHP/T3M=")</f>
        <v>#VALUE!</v>
      </c>
      <c r="DM43" t="e">
        <f>AND(Birds!DI8,"AAAAAHP/T3Q=")</f>
        <v>#VALUE!</v>
      </c>
      <c r="DN43" t="e">
        <f>AND(Birds!DJ8,"AAAAAHP/T3U=")</f>
        <v>#VALUE!</v>
      </c>
      <c r="DO43" t="e">
        <f>AND(Birds!DK8,"AAAAAHP/T3Y=")</f>
        <v>#VALUE!</v>
      </c>
      <c r="DP43" t="e">
        <f>AND(Birds!DL8,"AAAAAHP/T3c=")</f>
        <v>#VALUE!</v>
      </c>
      <c r="DQ43" t="e">
        <f>AND(Birds!DM8,"AAAAAHP/T3g=")</f>
        <v>#VALUE!</v>
      </c>
      <c r="DR43" t="e">
        <f>AND(Birds!DN8,"AAAAAHP/T3k=")</f>
        <v>#VALUE!</v>
      </c>
      <c r="DS43" t="e">
        <f>AND(Birds!DO8,"AAAAAHP/T3o=")</f>
        <v>#VALUE!</v>
      </c>
      <c r="DT43" t="e">
        <f>AND(Birds!DP8,"AAAAAHP/T3s=")</f>
        <v>#VALUE!</v>
      </c>
      <c r="DU43" t="e">
        <f>AND(Birds!DQ8,"AAAAAHP/T3w=")</f>
        <v>#VALUE!</v>
      </c>
      <c r="DV43" t="e">
        <f>AND(Birds!DR8,"AAAAAHP/T30=")</f>
        <v>#VALUE!</v>
      </c>
      <c r="DW43" t="e">
        <f>AND(Birds!DS8,"AAAAAHP/T34=")</f>
        <v>#VALUE!</v>
      </c>
      <c r="DX43" t="e">
        <f>AND(Birds!DT8,"AAAAAHP/T38=")</f>
        <v>#VALUE!</v>
      </c>
      <c r="DY43" t="e">
        <f>AND(Birds!DU8,"AAAAAHP/T4A=")</f>
        <v>#VALUE!</v>
      </c>
      <c r="DZ43" t="e">
        <f>AND(Birds!DV8,"AAAAAHP/T4E=")</f>
        <v>#VALUE!</v>
      </c>
      <c r="EA43" t="e">
        <f>AND(Birds!DW8,"AAAAAHP/T4I=")</f>
        <v>#VALUE!</v>
      </c>
      <c r="EB43" t="e">
        <f>AND(Birds!DX8,"AAAAAHP/T4M=")</f>
        <v>#VALUE!</v>
      </c>
      <c r="EC43" t="e">
        <f>AND(Birds!DY8,"AAAAAHP/T4Q=")</f>
        <v>#VALUE!</v>
      </c>
      <c r="ED43" t="e">
        <f>AND(Birds!DZ8,"AAAAAHP/T4U=")</f>
        <v>#VALUE!</v>
      </c>
      <c r="EE43" t="e">
        <f>AND(Birds!EA8,"AAAAAHP/T4Y=")</f>
        <v>#VALUE!</v>
      </c>
      <c r="EF43" t="e">
        <f>AND(Birds!EB8,"AAAAAHP/T4c=")</f>
        <v>#VALUE!</v>
      </c>
      <c r="EG43" t="e">
        <f>AND(Birds!EC8,"AAAAAHP/T4g=")</f>
        <v>#VALUE!</v>
      </c>
      <c r="EH43" t="e">
        <f>AND(Birds!ED8,"AAAAAHP/T4k=")</f>
        <v>#VALUE!</v>
      </c>
      <c r="EI43" t="e">
        <f>AND(Birds!EE8,"AAAAAHP/T4o=")</f>
        <v>#VALUE!</v>
      </c>
      <c r="EJ43" t="e">
        <f>AND(Birds!EF8,"AAAAAHP/T4s=")</f>
        <v>#VALUE!</v>
      </c>
      <c r="EK43" t="e">
        <f>AND(Birds!EG8,"AAAAAHP/T4w=")</f>
        <v>#VALUE!</v>
      </c>
      <c r="EL43" t="e">
        <f>AND(Birds!EH8,"AAAAAHP/T40=")</f>
        <v>#VALUE!</v>
      </c>
      <c r="EM43" t="e">
        <f>AND(Birds!EI8,"AAAAAHP/T44=")</f>
        <v>#VALUE!</v>
      </c>
      <c r="EN43" t="e">
        <f>AND(Birds!EJ8,"AAAAAHP/T48=")</f>
        <v>#VALUE!</v>
      </c>
      <c r="EO43" t="e">
        <f>AND(Birds!EK8,"AAAAAHP/T5A=")</f>
        <v>#VALUE!</v>
      </c>
      <c r="EP43" t="e">
        <f>AND(Birds!EL8,"AAAAAHP/T5E=")</f>
        <v>#VALUE!</v>
      </c>
      <c r="EQ43" t="e">
        <f>AND(Birds!EM8,"AAAAAHP/T5I=")</f>
        <v>#VALUE!</v>
      </c>
      <c r="ER43" t="e">
        <f>AND(Birds!EN8,"AAAAAHP/T5M=")</f>
        <v>#VALUE!</v>
      </c>
      <c r="ES43" t="e">
        <f>AND(Birds!EO8,"AAAAAHP/T5Q=")</f>
        <v>#VALUE!</v>
      </c>
      <c r="ET43" t="e">
        <f>AND(Birds!EP8,"AAAAAHP/T5U=")</f>
        <v>#VALUE!</v>
      </c>
      <c r="EU43" t="e">
        <f>AND(Birds!EQ8,"AAAAAHP/T5Y=")</f>
        <v>#VALUE!</v>
      </c>
      <c r="EV43" t="e">
        <f>AND(Birds!ER8,"AAAAAHP/T5c=")</f>
        <v>#VALUE!</v>
      </c>
      <c r="EW43" t="e">
        <f>AND(Birds!ES8,"AAAAAHP/T5g=")</f>
        <v>#VALUE!</v>
      </c>
      <c r="EX43" t="e">
        <f>AND(Birds!ET8,"AAAAAHP/T5k=")</f>
        <v>#VALUE!</v>
      </c>
      <c r="EY43" t="e">
        <f>AND(Birds!EU8,"AAAAAHP/T5o=")</f>
        <v>#VALUE!</v>
      </c>
      <c r="EZ43" t="e">
        <f>AND(Birds!EV8,"AAAAAHP/T5s=")</f>
        <v>#VALUE!</v>
      </c>
      <c r="FA43" t="e">
        <f>AND(Birds!EW8,"AAAAAHP/T5w=")</f>
        <v>#VALUE!</v>
      </c>
      <c r="FB43" t="e">
        <f>AND(Birds!EX8,"AAAAAHP/T50=")</f>
        <v>#VALUE!</v>
      </c>
      <c r="FC43" t="e">
        <f>AND(Birds!EY8,"AAAAAHP/T54=")</f>
        <v>#VALUE!</v>
      </c>
      <c r="FD43" t="e">
        <f>AND(Birds!EZ8,"AAAAAHP/T58=")</f>
        <v>#VALUE!</v>
      </c>
      <c r="FE43" t="e">
        <f>AND(Birds!FA8,"AAAAAHP/T6A=")</f>
        <v>#VALUE!</v>
      </c>
      <c r="FF43" t="e">
        <f>AND(Birds!FB8,"AAAAAHP/T6E=")</f>
        <v>#VALUE!</v>
      </c>
      <c r="FG43" t="e">
        <f>AND(Birds!FC8,"AAAAAHP/T6I=")</f>
        <v>#VALUE!</v>
      </c>
      <c r="FH43" t="e">
        <f>AND(Birds!FD8,"AAAAAHP/T6M=")</f>
        <v>#VALUE!</v>
      </c>
      <c r="FI43" t="e">
        <f>AND(Birds!FE8,"AAAAAHP/T6Q=")</f>
        <v>#VALUE!</v>
      </c>
      <c r="FJ43" t="e">
        <f>AND(Birds!FF8,"AAAAAHP/T6U=")</f>
        <v>#VALUE!</v>
      </c>
      <c r="FK43" t="e">
        <f>AND(Birds!FG8,"AAAAAHP/T6Y=")</f>
        <v>#VALUE!</v>
      </c>
      <c r="FL43" t="e">
        <f>AND(Birds!FH8,"AAAAAHP/T6c=")</f>
        <v>#VALUE!</v>
      </c>
      <c r="FM43" t="e">
        <f>AND(Birds!FI8,"AAAAAHP/T6g=")</f>
        <v>#VALUE!</v>
      </c>
      <c r="FN43" t="e">
        <f>AND(Birds!FJ8,"AAAAAHP/T6k=")</f>
        <v>#VALUE!</v>
      </c>
      <c r="FO43" t="e">
        <f>AND(Birds!FK8,"AAAAAHP/T6o=")</f>
        <v>#VALUE!</v>
      </c>
      <c r="FP43" t="e">
        <f>AND(Birds!FL8,"AAAAAHP/T6s=")</f>
        <v>#VALUE!</v>
      </c>
      <c r="FQ43" t="e">
        <f>AND(Birds!FM8,"AAAAAHP/T6w=")</f>
        <v>#VALUE!</v>
      </c>
      <c r="FR43" t="e">
        <f>AND(Birds!FN8,"AAAAAHP/T60=")</f>
        <v>#VALUE!</v>
      </c>
      <c r="FS43" t="e">
        <f>AND(Birds!FO8,"AAAAAHP/T64=")</f>
        <v>#VALUE!</v>
      </c>
      <c r="FT43" t="e">
        <f>AND(Birds!FP8,"AAAAAHP/T68=")</f>
        <v>#VALUE!</v>
      </c>
      <c r="FU43" t="e">
        <f>AND(Birds!FQ8,"AAAAAHP/T7A=")</f>
        <v>#VALUE!</v>
      </c>
      <c r="FV43" t="e">
        <f>AND(Birds!FR8,"AAAAAHP/T7E=")</f>
        <v>#VALUE!</v>
      </c>
      <c r="FW43" t="e">
        <f>AND(Birds!FS8,"AAAAAHP/T7I=")</f>
        <v>#VALUE!</v>
      </c>
      <c r="FX43" t="e">
        <f>AND(Birds!FT8,"AAAAAHP/T7M=")</f>
        <v>#VALUE!</v>
      </c>
      <c r="FY43" t="e">
        <f>AND(Birds!FU8,"AAAAAHP/T7Q=")</f>
        <v>#VALUE!</v>
      </c>
      <c r="FZ43" t="e">
        <f>AND(Birds!FV8,"AAAAAHP/T7U=")</f>
        <v>#VALUE!</v>
      </c>
      <c r="GA43" t="e">
        <f>AND(Birds!FW8,"AAAAAHP/T7Y=")</f>
        <v>#VALUE!</v>
      </c>
      <c r="GB43" t="e">
        <f>AND(Birds!FX8,"AAAAAHP/T7c=")</f>
        <v>#VALUE!</v>
      </c>
      <c r="GC43" t="e">
        <f>AND(Birds!FY8,"AAAAAHP/T7g=")</f>
        <v>#VALUE!</v>
      </c>
      <c r="GD43" t="e">
        <f>AND(Birds!FZ8,"AAAAAHP/T7k=")</f>
        <v>#VALUE!</v>
      </c>
      <c r="GE43" t="e">
        <f>AND(Birds!GA8,"AAAAAHP/T7o=")</f>
        <v>#VALUE!</v>
      </c>
      <c r="GF43" t="e">
        <f>AND(Birds!GB8,"AAAAAHP/T7s=")</f>
        <v>#VALUE!</v>
      </c>
      <c r="GG43" t="e">
        <f>AND(Birds!GC8,"AAAAAHP/T7w=")</f>
        <v>#VALUE!</v>
      </c>
      <c r="GH43" t="e">
        <f>AND(Birds!GD8,"AAAAAHP/T70=")</f>
        <v>#VALUE!</v>
      </c>
      <c r="GI43" t="e">
        <f>AND(Birds!GE8,"AAAAAHP/T74=")</f>
        <v>#VALUE!</v>
      </c>
      <c r="GJ43" t="e">
        <f>AND(Birds!GF8,"AAAAAHP/T78=")</f>
        <v>#VALUE!</v>
      </c>
      <c r="GK43" t="e">
        <f>AND(Birds!GG8,"AAAAAHP/T8A=")</f>
        <v>#VALUE!</v>
      </c>
      <c r="GL43" t="e">
        <f>AND(Birds!GH8,"AAAAAHP/T8E=")</f>
        <v>#VALUE!</v>
      </c>
      <c r="GM43" t="e">
        <f>AND(Birds!GI8,"AAAAAHP/T8I=")</f>
        <v>#VALUE!</v>
      </c>
      <c r="GN43" t="e">
        <f>AND(Birds!GJ8,"AAAAAHP/T8M=")</f>
        <v>#VALUE!</v>
      </c>
      <c r="GO43" t="e">
        <f>AND(Birds!GK8,"AAAAAHP/T8Q=")</f>
        <v>#VALUE!</v>
      </c>
      <c r="GP43" t="e">
        <f>AND(Birds!GL8,"AAAAAHP/T8U=")</f>
        <v>#VALUE!</v>
      </c>
      <c r="GQ43" t="e">
        <f>AND(Birds!GM8,"AAAAAHP/T8Y=")</f>
        <v>#VALUE!</v>
      </c>
      <c r="GR43">
        <f>IF(Birds!9:9,"AAAAAHP/T8c=",0)</f>
        <v>0</v>
      </c>
      <c r="GS43" t="e">
        <f>AND(Birds!A9,"AAAAAHP/T8g=")</f>
        <v>#VALUE!</v>
      </c>
      <c r="GT43" t="e">
        <f>AND(Birds!B9,"AAAAAHP/T8k=")</f>
        <v>#VALUE!</v>
      </c>
      <c r="GU43" t="e">
        <f>AND(Birds!C9,"AAAAAHP/T8o=")</f>
        <v>#VALUE!</v>
      </c>
      <c r="GV43" t="e">
        <f>AND(Birds!D9,"AAAAAHP/T8s=")</f>
        <v>#VALUE!</v>
      </c>
      <c r="GW43" t="e">
        <f>AND(Birds!E9,"AAAAAHP/T8w=")</f>
        <v>#VALUE!</v>
      </c>
      <c r="GX43" t="e">
        <f>AND(Birds!F9,"AAAAAHP/T80=")</f>
        <v>#VALUE!</v>
      </c>
      <c r="GY43" t="e">
        <f>AND(Birds!G9,"AAAAAHP/T84=")</f>
        <v>#VALUE!</v>
      </c>
      <c r="GZ43" t="e">
        <f>AND(Birds!H9,"AAAAAHP/T88=")</f>
        <v>#VALUE!</v>
      </c>
      <c r="HA43" t="e">
        <f>AND(Birds!I9,"AAAAAHP/T9A=")</f>
        <v>#VALUE!</v>
      </c>
      <c r="HB43" t="e">
        <f>AND(Birds!J9,"AAAAAHP/T9E=")</f>
        <v>#VALUE!</v>
      </c>
      <c r="HC43" t="e">
        <f>AND(Birds!K9,"AAAAAHP/T9I=")</f>
        <v>#VALUE!</v>
      </c>
      <c r="HD43" t="e">
        <f>AND(Birds!L9,"AAAAAHP/T9M=")</f>
        <v>#VALUE!</v>
      </c>
      <c r="HE43" t="e">
        <f>AND(Birds!M9,"AAAAAHP/T9Q=")</f>
        <v>#VALUE!</v>
      </c>
      <c r="HF43" t="e">
        <f>AND(Birds!N9,"AAAAAHP/T9U=")</f>
        <v>#VALUE!</v>
      </c>
      <c r="HG43" t="e">
        <f>AND(Birds!O9,"AAAAAHP/T9Y=")</f>
        <v>#VALUE!</v>
      </c>
      <c r="HH43" t="e">
        <f>AND(Birds!P9,"AAAAAHP/T9c=")</f>
        <v>#VALUE!</v>
      </c>
      <c r="HI43" t="e">
        <f>AND(Birds!Q9,"AAAAAHP/T9g=")</f>
        <v>#VALUE!</v>
      </c>
      <c r="HJ43" t="e">
        <f>AND(Birds!R9,"AAAAAHP/T9k=")</f>
        <v>#VALUE!</v>
      </c>
      <c r="HK43" t="e">
        <f>AND(Birds!S9,"AAAAAHP/T9o=")</f>
        <v>#VALUE!</v>
      </c>
      <c r="HL43" t="e">
        <f>AND(Birds!T9,"AAAAAHP/T9s=")</f>
        <v>#VALUE!</v>
      </c>
      <c r="HM43" t="e">
        <f>AND(Birds!U9,"AAAAAHP/T9w=")</f>
        <v>#VALUE!</v>
      </c>
      <c r="HN43" t="e">
        <f>AND(Birds!V9,"AAAAAHP/T90=")</f>
        <v>#VALUE!</v>
      </c>
      <c r="HO43" t="e">
        <f>AND(Birds!W9,"AAAAAHP/T94=")</f>
        <v>#VALUE!</v>
      </c>
      <c r="HP43" t="e">
        <f>AND(Birds!X9,"AAAAAHP/T98=")</f>
        <v>#VALUE!</v>
      </c>
      <c r="HQ43" t="e">
        <f>AND(Birds!Y9,"AAAAAHP/T+A=")</f>
        <v>#VALUE!</v>
      </c>
      <c r="HR43" t="e">
        <f>AND(Birds!Z9,"AAAAAHP/T+E=")</f>
        <v>#VALUE!</v>
      </c>
      <c r="HS43" t="e">
        <f>AND(Birds!AA9,"AAAAAHP/T+I=")</f>
        <v>#VALUE!</v>
      </c>
      <c r="HT43" t="e">
        <f>AND(Birds!AB9,"AAAAAHP/T+M=")</f>
        <v>#VALUE!</v>
      </c>
      <c r="HU43" t="e">
        <f>AND(Birds!AC9,"AAAAAHP/T+Q=")</f>
        <v>#VALUE!</v>
      </c>
      <c r="HV43" t="e">
        <f>AND(Birds!AD9,"AAAAAHP/T+U=")</f>
        <v>#VALUE!</v>
      </c>
      <c r="HW43" t="e">
        <f>AND(Birds!AE9,"AAAAAHP/T+Y=")</f>
        <v>#VALUE!</v>
      </c>
      <c r="HX43" t="e">
        <f>AND(Birds!AF9,"AAAAAHP/T+c=")</f>
        <v>#VALUE!</v>
      </c>
      <c r="HY43" t="e">
        <f>AND(Birds!AG9,"AAAAAHP/T+g=")</f>
        <v>#VALUE!</v>
      </c>
      <c r="HZ43" t="e">
        <f>AND(Birds!AH9,"AAAAAHP/T+k=")</f>
        <v>#VALUE!</v>
      </c>
      <c r="IA43" t="e">
        <f>AND(Birds!AI9,"AAAAAHP/T+o=")</f>
        <v>#VALUE!</v>
      </c>
      <c r="IB43" t="e">
        <f>AND(Birds!AJ9,"AAAAAHP/T+s=")</f>
        <v>#VALUE!</v>
      </c>
      <c r="IC43" t="e">
        <f>AND(Birds!AK9,"AAAAAHP/T+w=")</f>
        <v>#VALUE!</v>
      </c>
      <c r="ID43" t="e">
        <f>AND(Birds!AL9,"AAAAAHP/T+0=")</f>
        <v>#VALUE!</v>
      </c>
      <c r="IE43" t="e">
        <f>AND(Birds!AM9,"AAAAAHP/T+4=")</f>
        <v>#VALUE!</v>
      </c>
      <c r="IF43" t="e">
        <f>AND(Birds!AN9,"AAAAAHP/T+8=")</f>
        <v>#VALUE!</v>
      </c>
      <c r="IG43" t="e">
        <f>AND(Birds!AO9,"AAAAAHP/T/A=")</f>
        <v>#VALUE!</v>
      </c>
      <c r="IH43" t="e">
        <f>AND(Birds!AP9,"AAAAAHP/T/E=")</f>
        <v>#VALUE!</v>
      </c>
      <c r="II43" t="e">
        <f>AND(Birds!AQ9,"AAAAAHP/T/I=")</f>
        <v>#VALUE!</v>
      </c>
      <c r="IJ43" t="e">
        <f>AND(Birds!AR9,"AAAAAHP/T/M=")</f>
        <v>#VALUE!</v>
      </c>
      <c r="IK43" t="e">
        <f>AND(Birds!AS9,"AAAAAHP/T/Q=")</f>
        <v>#VALUE!</v>
      </c>
      <c r="IL43" t="e">
        <f>AND(Birds!AT9,"AAAAAHP/T/U=")</f>
        <v>#VALUE!</v>
      </c>
      <c r="IM43" t="e">
        <f>AND(Birds!AU9,"AAAAAHP/T/Y=")</f>
        <v>#VALUE!</v>
      </c>
      <c r="IN43" t="e">
        <f>AND(Birds!AV9,"AAAAAHP/T/c=")</f>
        <v>#VALUE!</v>
      </c>
      <c r="IO43" t="e">
        <f>AND(Birds!AW9,"AAAAAHP/T/g=")</f>
        <v>#VALUE!</v>
      </c>
      <c r="IP43" t="e">
        <f>AND(Birds!AX9,"AAAAAHP/T/k=")</f>
        <v>#VALUE!</v>
      </c>
      <c r="IQ43" t="e">
        <f>AND(Birds!AY9,"AAAAAHP/T/o=")</f>
        <v>#VALUE!</v>
      </c>
      <c r="IR43" t="e">
        <f>AND(Birds!AZ9,"AAAAAHP/T/s=")</f>
        <v>#VALUE!</v>
      </c>
      <c r="IS43" t="e">
        <f>AND(Birds!BA9,"AAAAAHP/T/w=")</f>
        <v>#VALUE!</v>
      </c>
      <c r="IT43" t="e">
        <f>AND(Birds!BB9,"AAAAAHP/T/0=")</f>
        <v>#VALUE!</v>
      </c>
      <c r="IU43" t="e">
        <f>AND(Birds!BC9,"AAAAAHP/T/4=")</f>
        <v>#VALUE!</v>
      </c>
      <c r="IV43" t="e">
        <f>AND(Birds!BD9,"AAAAAHP/T/8=")</f>
        <v>#VALUE!</v>
      </c>
    </row>
    <row r="44" spans="1:256">
      <c r="A44" t="e">
        <f>AND(Birds!BE9,"AAAAAF79/gA=")</f>
        <v>#VALUE!</v>
      </c>
      <c r="B44" t="e">
        <f>AND(Birds!BF9,"AAAAAF79/gE=")</f>
        <v>#VALUE!</v>
      </c>
      <c r="C44" t="e">
        <f>AND(Birds!BG9,"AAAAAF79/gI=")</f>
        <v>#VALUE!</v>
      </c>
      <c r="D44" t="e">
        <f>AND(Birds!BH9,"AAAAAF79/gM=")</f>
        <v>#VALUE!</v>
      </c>
      <c r="E44" t="e">
        <f>AND(Birds!BI9,"AAAAAF79/gQ=")</f>
        <v>#VALUE!</v>
      </c>
      <c r="F44" t="e">
        <f>AND(Birds!BJ9,"AAAAAF79/gU=")</f>
        <v>#VALUE!</v>
      </c>
      <c r="G44" t="e">
        <f>AND(Birds!BK9,"AAAAAF79/gY=")</f>
        <v>#VALUE!</v>
      </c>
      <c r="H44" t="e">
        <f>AND(Birds!BL9,"AAAAAF79/gc=")</f>
        <v>#VALUE!</v>
      </c>
      <c r="I44" t="e">
        <f>AND(Birds!BM9,"AAAAAF79/gg=")</f>
        <v>#VALUE!</v>
      </c>
      <c r="J44" t="e">
        <f>AND(Birds!BN9,"AAAAAF79/gk=")</f>
        <v>#VALUE!</v>
      </c>
      <c r="K44" t="e">
        <f>AND(Birds!BO9,"AAAAAF79/go=")</f>
        <v>#VALUE!</v>
      </c>
      <c r="L44" t="e">
        <f>AND(Birds!BP9,"AAAAAF79/gs=")</f>
        <v>#VALUE!</v>
      </c>
      <c r="M44" t="e">
        <f>AND(Birds!BQ9,"AAAAAF79/gw=")</f>
        <v>#VALUE!</v>
      </c>
      <c r="N44" t="e">
        <f>AND(Birds!BR9,"AAAAAF79/g0=")</f>
        <v>#VALUE!</v>
      </c>
      <c r="O44" t="e">
        <f>AND(Birds!BS9,"AAAAAF79/g4=")</f>
        <v>#VALUE!</v>
      </c>
      <c r="P44" t="e">
        <f>AND(Birds!BT9,"AAAAAF79/g8=")</f>
        <v>#VALUE!</v>
      </c>
      <c r="Q44" t="e">
        <f>AND(Birds!BU9,"AAAAAF79/hA=")</f>
        <v>#VALUE!</v>
      </c>
      <c r="R44" t="e">
        <f>AND(Birds!BV9,"AAAAAF79/hE=")</f>
        <v>#VALUE!</v>
      </c>
      <c r="S44" t="e">
        <f>AND(Birds!BW9,"AAAAAF79/hI=")</f>
        <v>#VALUE!</v>
      </c>
      <c r="T44" t="e">
        <f>AND(Birds!BX9,"AAAAAF79/hM=")</f>
        <v>#VALUE!</v>
      </c>
      <c r="U44" t="e">
        <f>AND(Birds!BY9,"AAAAAF79/hQ=")</f>
        <v>#VALUE!</v>
      </c>
      <c r="V44" t="e">
        <f>AND(Birds!BZ9,"AAAAAF79/hU=")</f>
        <v>#VALUE!</v>
      </c>
      <c r="W44" t="e">
        <f>AND(Birds!CA9,"AAAAAF79/hY=")</f>
        <v>#VALUE!</v>
      </c>
      <c r="X44" t="e">
        <f>AND(Birds!CB9,"AAAAAF79/hc=")</f>
        <v>#VALUE!</v>
      </c>
      <c r="Y44" t="e">
        <f>AND(Birds!CC9,"AAAAAF79/hg=")</f>
        <v>#VALUE!</v>
      </c>
      <c r="Z44" t="e">
        <f>AND(Birds!CD9,"AAAAAF79/hk=")</f>
        <v>#VALUE!</v>
      </c>
      <c r="AA44" t="e">
        <f>AND(Birds!CE9,"AAAAAF79/ho=")</f>
        <v>#VALUE!</v>
      </c>
      <c r="AB44" t="e">
        <f>AND(Birds!CF9,"AAAAAF79/hs=")</f>
        <v>#VALUE!</v>
      </c>
      <c r="AC44" t="e">
        <f>AND(Birds!CG9,"AAAAAF79/hw=")</f>
        <v>#VALUE!</v>
      </c>
      <c r="AD44" t="e">
        <f>AND(Birds!CH9,"AAAAAF79/h0=")</f>
        <v>#VALUE!</v>
      </c>
      <c r="AE44" t="e">
        <f>AND(Birds!CI9,"AAAAAF79/h4=")</f>
        <v>#VALUE!</v>
      </c>
      <c r="AF44" t="e">
        <f>AND(Birds!CJ9,"AAAAAF79/h8=")</f>
        <v>#VALUE!</v>
      </c>
      <c r="AG44" t="e">
        <f>AND(Birds!CK9,"AAAAAF79/iA=")</f>
        <v>#VALUE!</v>
      </c>
      <c r="AH44" t="e">
        <f>AND(Birds!CL9,"AAAAAF79/iE=")</f>
        <v>#VALUE!</v>
      </c>
      <c r="AI44" t="e">
        <f>AND(Birds!CM9,"AAAAAF79/iI=")</f>
        <v>#VALUE!</v>
      </c>
      <c r="AJ44" t="e">
        <f>AND(Birds!CN9,"AAAAAF79/iM=")</f>
        <v>#VALUE!</v>
      </c>
      <c r="AK44" t="e">
        <f>AND(Birds!CO9,"AAAAAF79/iQ=")</f>
        <v>#VALUE!</v>
      </c>
      <c r="AL44" t="e">
        <f>AND(Birds!CP9,"AAAAAF79/iU=")</f>
        <v>#VALUE!</v>
      </c>
      <c r="AM44" t="e">
        <f>AND(Birds!CQ9,"AAAAAF79/iY=")</f>
        <v>#VALUE!</v>
      </c>
      <c r="AN44" t="e">
        <f>AND(Birds!CR9,"AAAAAF79/ic=")</f>
        <v>#VALUE!</v>
      </c>
      <c r="AO44" t="e">
        <f>AND(Birds!CS9,"AAAAAF79/ig=")</f>
        <v>#VALUE!</v>
      </c>
      <c r="AP44" t="e">
        <f>AND(Birds!CT9,"AAAAAF79/ik=")</f>
        <v>#VALUE!</v>
      </c>
      <c r="AQ44" t="e">
        <f>AND(Birds!CU9,"AAAAAF79/io=")</f>
        <v>#VALUE!</v>
      </c>
      <c r="AR44" t="e">
        <f>AND(Birds!CV9,"AAAAAF79/is=")</f>
        <v>#VALUE!</v>
      </c>
      <c r="AS44" t="e">
        <f>AND(Birds!CW9,"AAAAAF79/iw=")</f>
        <v>#VALUE!</v>
      </c>
      <c r="AT44" t="e">
        <f>AND(Birds!CX9,"AAAAAF79/i0=")</f>
        <v>#VALUE!</v>
      </c>
      <c r="AU44" t="e">
        <f>AND(Birds!CY9,"AAAAAF79/i4=")</f>
        <v>#VALUE!</v>
      </c>
      <c r="AV44" t="e">
        <f>AND(Birds!CZ9,"AAAAAF79/i8=")</f>
        <v>#VALUE!</v>
      </c>
      <c r="AW44" t="e">
        <f>AND(Birds!DA9,"AAAAAF79/jA=")</f>
        <v>#VALUE!</v>
      </c>
      <c r="AX44" t="e">
        <f>AND(Birds!DB9,"AAAAAF79/jE=")</f>
        <v>#VALUE!</v>
      </c>
      <c r="AY44" t="e">
        <f>AND(Birds!DC9,"AAAAAF79/jI=")</f>
        <v>#VALUE!</v>
      </c>
      <c r="AZ44" t="e">
        <f>AND(Birds!DD9,"AAAAAF79/jM=")</f>
        <v>#VALUE!</v>
      </c>
      <c r="BA44" t="e">
        <f>AND(Birds!DE9,"AAAAAF79/jQ=")</f>
        <v>#VALUE!</v>
      </c>
      <c r="BB44" t="e">
        <f>AND(Birds!DF9,"AAAAAF79/jU=")</f>
        <v>#VALUE!</v>
      </c>
      <c r="BC44" t="e">
        <f>AND(Birds!DG9,"AAAAAF79/jY=")</f>
        <v>#VALUE!</v>
      </c>
      <c r="BD44" t="e">
        <f>AND(Birds!DH9,"AAAAAF79/jc=")</f>
        <v>#VALUE!</v>
      </c>
      <c r="BE44" t="e">
        <f>AND(Birds!DI9,"AAAAAF79/jg=")</f>
        <v>#VALUE!</v>
      </c>
      <c r="BF44" t="e">
        <f>AND(Birds!DJ9,"AAAAAF79/jk=")</f>
        <v>#VALUE!</v>
      </c>
      <c r="BG44" t="e">
        <f>AND(Birds!DK9,"AAAAAF79/jo=")</f>
        <v>#VALUE!</v>
      </c>
      <c r="BH44" t="e">
        <f>AND(Birds!DL9,"AAAAAF79/js=")</f>
        <v>#VALUE!</v>
      </c>
      <c r="BI44" t="e">
        <f>AND(Birds!DM9,"AAAAAF79/jw=")</f>
        <v>#VALUE!</v>
      </c>
      <c r="BJ44" t="e">
        <f>AND(Birds!DN9,"AAAAAF79/j0=")</f>
        <v>#VALUE!</v>
      </c>
      <c r="BK44" t="e">
        <f>AND(Birds!DO9,"AAAAAF79/j4=")</f>
        <v>#VALUE!</v>
      </c>
      <c r="BL44" t="e">
        <f>AND(Birds!DP9,"AAAAAF79/j8=")</f>
        <v>#VALUE!</v>
      </c>
      <c r="BM44" t="e">
        <f>AND(Birds!DQ9,"AAAAAF79/kA=")</f>
        <v>#VALUE!</v>
      </c>
      <c r="BN44" t="e">
        <f>AND(Birds!DR9,"AAAAAF79/kE=")</f>
        <v>#VALUE!</v>
      </c>
      <c r="BO44" t="e">
        <f>AND(Birds!DS9,"AAAAAF79/kI=")</f>
        <v>#VALUE!</v>
      </c>
      <c r="BP44" t="e">
        <f>AND(Birds!DT9,"AAAAAF79/kM=")</f>
        <v>#VALUE!</v>
      </c>
      <c r="BQ44" t="e">
        <f>AND(Birds!DU9,"AAAAAF79/kQ=")</f>
        <v>#VALUE!</v>
      </c>
      <c r="BR44" t="e">
        <f>AND(Birds!DV9,"AAAAAF79/kU=")</f>
        <v>#VALUE!</v>
      </c>
      <c r="BS44" t="e">
        <f>AND(Birds!DW9,"AAAAAF79/kY=")</f>
        <v>#VALUE!</v>
      </c>
      <c r="BT44" t="e">
        <f>AND(Birds!DX9,"AAAAAF79/kc=")</f>
        <v>#VALUE!</v>
      </c>
      <c r="BU44" t="e">
        <f>AND(Birds!DY9,"AAAAAF79/kg=")</f>
        <v>#VALUE!</v>
      </c>
      <c r="BV44" t="e">
        <f>AND(Birds!DZ9,"AAAAAF79/kk=")</f>
        <v>#VALUE!</v>
      </c>
      <c r="BW44" t="e">
        <f>AND(Birds!EA9,"AAAAAF79/ko=")</f>
        <v>#VALUE!</v>
      </c>
      <c r="BX44" t="e">
        <f>AND(Birds!EB9,"AAAAAF79/ks=")</f>
        <v>#VALUE!</v>
      </c>
      <c r="BY44" t="e">
        <f>AND(Birds!EC9,"AAAAAF79/kw=")</f>
        <v>#VALUE!</v>
      </c>
      <c r="BZ44" t="e">
        <f>AND(Birds!ED9,"AAAAAF79/k0=")</f>
        <v>#VALUE!</v>
      </c>
      <c r="CA44" t="e">
        <f>AND(Birds!EE9,"AAAAAF79/k4=")</f>
        <v>#VALUE!</v>
      </c>
      <c r="CB44" t="e">
        <f>AND(Birds!EF9,"AAAAAF79/k8=")</f>
        <v>#VALUE!</v>
      </c>
      <c r="CC44" t="e">
        <f>AND(Birds!EG9,"AAAAAF79/lA=")</f>
        <v>#VALUE!</v>
      </c>
      <c r="CD44" t="e">
        <f>AND(Birds!EH9,"AAAAAF79/lE=")</f>
        <v>#VALUE!</v>
      </c>
      <c r="CE44" t="e">
        <f>AND(Birds!EI9,"AAAAAF79/lI=")</f>
        <v>#VALUE!</v>
      </c>
      <c r="CF44" t="e">
        <f>AND(Birds!EJ9,"AAAAAF79/lM=")</f>
        <v>#VALUE!</v>
      </c>
      <c r="CG44" t="e">
        <f>AND(Birds!EK9,"AAAAAF79/lQ=")</f>
        <v>#VALUE!</v>
      </c>
      <c r="CH44" t="e">
        <f>AND(Birds!EL9,"AAAAAF79/lU=")</f>
        <v>#VALUE!</v>
      </c>
      <c r="CI44" t="e">
        <f>AND(Birds!EM9,"AAAAAF79/lY=")</f>
        <v>#VALUE!</v>
      </c>
      <c r="CJ44" t="e">
        <f>AND(Birds!EN9,"AAAAAF79/lc=")</f>
        <v>#VALUE!</v>
      </c>
      <c r="CK44" t="e">
        <f>AND(Birds!EO9,"AAAAAF79/lg=")</f>
        <v>#VALUE!</v>
      </c>
      <c r="CL44" t="e">
        <f>AND(Birds!EP9,"AAAAAF79/lk=")</f>
        <v>#VALUE!</v>
      </c>
      <c r="CM44" t="e">
        <f>AND(Birds!EQ9,"AAAAAF79/lo=")</f>
        <v>#VALUE!</v>
      </c>
      <c r="CN44" t="e">
        <f>AND(Birds!ER9,"AAAAAF79/ls=")</f>
        <v>#VALUE!</v>
      </c>
      <c r="CO44" t="e">
        <f>AND(Birds!ES9,"AAAAAF79/lw=")</f>
        <v>#VALUE!</v>
      </c>
      <c r="CP44" t="e">
        <f>AND(Birds!ET9,"AAAAAF79/l0=")</f>
        <v>#VALUE!</v>
      </c>
      <c r="CQ44" t="e">
        <f>AND(Birds!EU9,"AAAAAF79/l4=")</f>
        <v>#VALUE!</v>
      </c>
      <c r="CR44" t="e">
        <f>AND(Birds!EV9,"AAAAAF79/l8=")</f>
        <v>#VALUE!</v>
      </c>
      <c r="CS44" t="e">
        <f>AND(Birds!EW9,"AAAAAF79/mA=")</f>
        <v>#VALUE!</v>
      </c>
      <c r="CT44" t="e">
        <f>AND(Birds!EX9,"AAAAAF79/mE=")</f>
        <v>#VALUE!</v>
      </c>
      <c r="CU44" t="e">
        <f>AND(Birds!EY9,"AAAAAF79/mI=")</f>
        <v>#VALUE!</v>
      </c>
      <c r="CV44" t="e">
        <f>AND(Birds!EZ9,"AAAAAF79/mM=")</f>
        <v>#VALUE!</v>
      </c>
      <c r="CW44" t="e">
        <f>AND(Birds!FA9,"AAAAAF79/mQ=")</f>
        <v>#VALUE!</v>
      </c>
      <c r="CX44" t="e">
        <f>AND(Birds!FB9,"AAAAAF79/mU=")</f>
        <v>#VALUE!</v>
      </c>
      <c r="CY44" t="e">
        <f>AND(Birds!FC9,"AAAAAF79/mY=")</f>
        <v>#VALUE!</v>
      </c>
      <c r="CZ44" t="e">
        <f>AND(Birds!FD9,"AAAAAF79/mc=")</f>
        <v>#VALUE!</v>
      </c>
      <c r="DA44" t="e">
        <f>AND(Birds!FE9,"AAAAAF79/mg=")</f>
        <v>#VALUE!</v>
      </c>
      <c r="DB44" t="e">
        <f>AND(Birds!FF9,"AAAAAF79/mk=")</f>
        <v>#VALUE!</v>
      </c>
      <c r="DC44" t="e">
        <f>AND(Birds!FG9,"AAAAAF79/mo=")</f>
        <v>#VALUE!</v>
      </c>
      <c r="DD44" t="e">
        <f>AND(Birds!FH9,"AAAAAF79/ms=")</f>
        <v>#VALUE!</v>
      </c>
      <c r="DE44" t="e">
        <f>AND(Birds!FI9,"AAAAAF79/mw=")</f>
        <v>#VALUE!</v>
      </c>
      <c r="DF44" t="e">
        <f>AND(Birds!FJ9,"AAAAAF79/m0=")</f>
        <v>#VALUE!</v>
      </c>
      <c r="DG44" t="e">
        <f>AND(Birds!FK9,"AAAAAF79/m4=")</f>
        <v>#VALUE!</v>
      </c>
      <c r="DH44" t="e">
        <f>AND(Birds!FL9,"AAAAAF79/m8=")</f>
        <v>#VALUE!</v>
      </c>
      <c r="DI44" t="e">
        <f>AND(Birds!FM9,"AAAAAF79/nA=")</f>
        <v>#VALUE!</v>
      </c>
      <c r="DJ44" t="e">
        <f>AND(Birds!FN9,"AAAAAF79/nE=")</f>
        <v>#VALUE!</v>
      </c>
      <c r="DK44" t="e">
        <f>AND(Birds!FO9,"AAAAAF79/nI=")</f>
        <v>#VALUE!</v>
      </c>
      <c r="DL44" t="e">
        <f>AND(Birds!FP9,"AAAAAF79/nM=")</f>
        <v>#VALUE!</v>
      </c>
      <c r="DM44" t="e">
        <f>AND(Birds!FQ9,"AAAAAF79/nQ=")</f>
        <v>#VALUE!</v>
      </c>
      <c r="DN44" t="e">
        <f>AND(Birds!FR9,"AAAAAF79/nU=")</f>
        <v>#VALUE!</v>
      </c>
      <c r="DO44" t="e">
        <f>AND(Birds!FS9,"AAAAAF79/nY=")</f>
        <v>#VALUE!</v>
      </c>
      <c r="DP44" t="e">
        <f>AND(Birds!FT9,"AAAAAF79/nc=")</f>
        <v>#VALUE!</v>
      </c>
      <c r="DQ44" t="e">
        <f>AND(Birds!FU9,"AAAAAF79/ng=")</f>
        <v>#VALUE!</v>
      </c>
      <c r="DR44" t="e">
        <f>AND(Birds!FV9,"AAAAAF79/nk=")</f>
        <v>#VALUE!</v>
      </c>
      <c r="DS44" t="e">
        <f>AND(Birds!FW9,"AAAAAF79/no=")</f>
        <v>#VALUE!</v>
      </c>
      <c r="DT44" t="e">
        <f>AND(Birds!FX9,"AAAAAF79/ns=")</f>
        <v>#VALUE!</v>
      </c>
      <c r="DU44" t="e">
        <f>AND(Birds!FY9,"AAAAAF79/nw=")</f>
        <v>#VALUE!</v>
      </c>
      <c r="DV44" t="e">
        <f>AND(Birds!FZ9,"AAAAAF79/n0=")</f>
        <v>#VALUE!</v>
      </c>
      <c r="DW44" t="e">
        <f>AND(Birds!GA9,"AAAAAF79/n4=")</f>
        <v>#VALUE!</v>
      </c>
      <c r="DX44" t="e">
        <f>AND(Birds!GB9,"AAAAAF79/n8=")</f>
        <v>#VALUE!</v>
      </c>
      <c r="DY44" t="e">
        <f>AND(Birds!GC9,"AAAAAF79/oA=")</f>
        <v>#VALUE!</v>
      </c>
      <c r="DZ44" t="e">
        <f>AND(Birds!GD9,"AAAAAF79/oE=")</f>
        <v>#VALUE!</v>
      </c>
      <c r="EA44" t="e">
        <f>AND(Birds!GE9,"AAAAAF79/oI=")</f>
        <v>#VALUE!</v>
      </c>
      <c r="EB44" t="e">
        <f>AND(Birds!GF9,"AAAAAF79/oM=")</f>
        <v>#VALUE!</v>
      </c>
      <c r="EC44" t="e">
        <f>AND(Birds!GG9,"AAAAAF79/oQ=")</f>
        <v>#VALUE!</v>
      </c>
      <c r="ED44" t="e">
        <f>AND(Birds!GH9,"AAAAAF79/oU=")</f>
        <v>#VALUE!</v>
      </c>
      <c r="EE44" t="e">
        <f>AND(Birds!GI9,"AAAAAF79/oY=")</f>
        <v>#VALUE!</v>
      </c>
      <c r="EF44" t="e">
        <f>AND(Birds!GJ9,"AAAAAF79/oc=")</f>
        <v>#VALUE!</v>
      </c>
      <c r="EG44" t="e">
        <f>AND(Birds!GK9,"AAAAAF79/og=")</f>
        <v>#VALUE!</v>
      </c>
      <c r="EH44" t="e">
        <f>AND(Birds!GL9,"AAAAAF79/ok=")</f>
        <v>#VALUE!</v>
      </c>
      <c r="EI44" t="e">
        <f>AND(Birds!GM9,"AAAAAF79/oo=")</f>
        <v>#VALUE!</v>
      </c>
      <c r="EJ44">
        <f>IF(Birds!10:10,"AAAAAF79/os=",0)</f>
        <v>0</v>
      </c>
      <c r="EK44" t="e">
        <f>AND(Birds!A10,"AAAAAF79/ow=")</f>
        <v>#VALUE!</v>
      </c>
      <c r="EL44" t="e">
        <f>AND(Birds!B10,"AAAAAF79/o0=")</f>
        <v>#VALUE!</v>
      </c>
      <c r="EM44" t="e">
        <f>AND(Birds!C10,"AAAAAF79/o4=")</f>
        <v>#VALUE!</v>
      </c>
      <c r="EN44" t="e">
        <f>AND(Birds!D10,"AAAAAF79/o8=")</f>
        <v>#VALUE!</v>
      </c>
      <c r="EO44" t="e">
        <f>AND(Birds!E10,"AAAAAF79/pA=")</f>
        <v>#VALUE!</v>
      </c>
      <c r="EP44" t="e">
        <f>AND(Birds!F10,"AAAAAF79/pE=")</f>
        <v>#VALUE!</v>
      </c>
      <c r="EQ44" t="e">
        <f>AND(Birds!G10,"AAAAAF79/pI=")</f>
        <v>#VALUE!</v>
      </c>
      <c r="ER44" t="e">
        <f>AND(Birds!H10,"AAAAAF79/pM=")</f>
        <v>#VALUE!</v>
      </c>
      <c r="ES44" t="e">
        <f>AND(Birds!I10,"AAAAAF79/pQ=")</f>
        <v>#VALUE!</v>
      </c>
      <c r="ET44" t="e">
        <f>AND(Birds!J10,"AAAAAF79/pU=")</f>
        <v>#VALUE!</v>
      </c>
      <c r="EU44" t="e">
        <f>AND(Birds!K10,"AAAAAF79/pY=")</f>
        <v>#VALUE!</v>
      </c>
      <c r="EV44" t="e">
        <f>AND(Birds!L10,"AAAAAF79/pc=")</f>
        <v>#VALUE!</v>
      </c>
      <c r="EW44" t="e">
        <f>AND(Birds!M10,"AAAAAF79/pg=")</f>
        <v>#VALUE!</v>
      </c>
      <c r="EX44" t="e">
        <f>AND(Birds!N10,"AAAAAF79/pk=")</f>
        <v>#VALUE!</v>
      </c>
      <c r="EY44" t="e">
        <f>AND(Birds!O10,"AAAAAF79/po=")</f>
        <v>#VALUE!</v>
      </c>
      <c r="EZ44" t="e">
        <f>AND(Birds!P10,"AAAAAF79/ps=")</f>
        <v>#VALUE!</v>
      </c>
      <c r="FA44" t="e">
        <f>AND(Birds!Q10,"AAAAAF79/pw=")</f>
        <v>#VALUE!</v>
      </c>
      <c r="FB44" t="e">
        <f>AND(Birds!R10,"AAAAAF79/p0=")</f>
        <v>#VALUE!</v>
      </c>
      <c r="FC44" t="e">
        <f>AND(Birds!S10,"AAAAAF79/p4=")</f>
        <v>#VALUE!</v>
      </c>
      <c r="FD44" t="e">
        <f>AND(Birds!T10,"AAAAAF79/p8=")</f>
        <v>#VALUE!</v>
      </c>
      <c r="FE44" t="e">
        <f>AND(Birds!U10,"AAAAAF79/qA=")</f>
        <v>#VALUE!</v>
      </c>
      <c r="FF44" t="e">
        <f>AND(Birds!V10,"AAAAAF79/qE=")</f>
        <v>#VALUE!</v>
      </c>
      <c r="FG44" t="e">
        <f>AND(Birds!W10,"AAAAAF79/qI=")</f>
        <v>#VALUE!</v>
      </c>
      <c r="FH44" t="e">
        <f>AND(Birds!X10,"AAAAAF79/qM=")</f>
        <v>#VALUE!</v>
      </c>
      <c r="FI44" t="e">
        <f>AND(Birds!Y10,"AAAAAF79/qQ=")</f>
        <v>#VALUE!</v>
      </c>
      <c r="FJ44" t="e">
        <f>AND(Birds!Z10,"AAAAAF79/qU=")</f>
        <v>#VALUE!</v>
      </c>
      <c r="FK44" t="e">
        <f>AND(Birds!AA10,"AAAAAF79/qY=")</f>
        <v>#VALUE!</v>
      </c>
      <c r="FL44" t="e">
        <f>AND(Birds!AB10,"AAAAAF79/qc=")</f>
        <v>#VALUE!</v>
      </c>
      <c r="FM44" t="e">
        <f>AND(Birds!AC10,"AAAAAF79/qg=")</f>
        <v>#VALUE!</v>
      </c>
      <c r="FN44" t="e">
        <f>AND(Birds!AD10,"AAAAAF79/qk=")</f>
        <v>#VALUE!</v>
      </c>
      <c r="FO44" t="e">
        <f>AND(Birds!AE10,"AAAAAF79/qo=")</f>
        <v>#VALUE!</v>
      </c>
      <c r="FP44" t="e">
        <f>AND(Birds!AF10,"AAAAAF79/qs=")</f>
        <v>#VALUE!</v>
      </c>
      <c r="FQ44" t="e">
        <f>AND(Birds!AG10,"AAAAAF79/qw=")</f>
        <v>#VALUE!</v>
      </c>
      <c r="FR44" t="e">
        <f>AND(Birds!AH10,"AAAAAF79/q0=")</f>
        <v>#VALUE!</v>
      </c>
      <c r="FS44" t="e">
        <f>AND(Birds!AI10,"AAAAAF79/q4=")</f>
        <v>#VALUE!</v>
      </c>
      <c r="FT44" t="e">
        <f>AND(Birds!AJ10,"AAAAAF79/q8=")</f>
        <v>#VALUE!</v>
      </c>
      <c r="FU44" t="e">
        <f>AND(Birds!AK10,"AAAAAF79/rA=")</f>
        <v>#VALUE!</v>
      </c>
      <c r="FV44" t="e">
        <f>AND(Birds!AL10,"AAAAAF79/rE=")</f>
        <v>#VALUE!</v>
      </c>
      <c r="FW44" t="e">
        <f>AND(Birds!AM10,"AAAAAF79/rI=")</f>
        <v>#VALUE!</v>
      </c>
      <c r="FX44" t="e">
        <f>AND(Birds!AN10,"AAAAAF79/rM=")</f>
        <v>#VALUE!</v>
      </c>
      <c r="FY44" t="e">
        <f>AND(Birds!AO10,"AAAAAF79/rQ=")</f>
        <v>#VALUE!</v>
      </c>
      <c r="FZ44" t="e">
        <f>AND(Birds!AP10,"AAAAAF79/rU=")</f>
        <v>#VALUE!</v>
      </c>
      <c r="GA44" t="e">
        <f>AND(Birds!AQ10,"AAAAAF79/rY=")</f>
        <v>#VALUE!</v>
      </c>
      <c r="GB44" t="e">
        <f>AND(Birds!AR10,"AAAAAF79/rc=")</f>
        <v>#VALUE!</v>
      </c>
      <c r="GC44" t="e">
        <f>AND(Birds!AS10,"AAAAAF79/rg=")</f>
        <v>#VALUE!</v>
      </c>
      <c r="GD44" t="e">
        <f>AND(Birds!AT10,"AAAAAF79/rk=")</f>
        <v>#VALUE!</v>
      </c>
      <c r="GE44" t="e">
        <f>AND(Birds!AU10,"AAAAAF79/ro=")</f>
        <v>#VALUE!</v>
      </c>
      <c r="GF44" t="e">
        <f>AND(Birds!AV10,"AAAAAF79/rs=")</f>
        <v>#VALUE!</v>
      </c>
      <c r="GG44" t="e">
        <f>AND(Birds!AW10,"AAAAAF79/rw=")</f>
        <v>#VALUE!</v>
      </c>
      <c r="GH44" t="e">
        <f>AND(Birds!AX10,"AAAAAF79/r0=")</f>
        <v>#VALUE!</v>
      </c>
      <c r="GI44" t="e">
        <f>AND(Birds!AY10,"AAAAAF79/r4=")</f>
        <v>#VALUE!</v>
      </c>
      <c r="GJ44" t="e">
        <f>AND(Birds!AZ10,"AAAAAF79/r8=")</f>
        <v>#VALUE!</v>
      </c>
      <c r="GK44" t="e">
        <f>AND(Birds!BA10,"AAAAAF79/sA=")</f>
        <v>#VALUE!</v>
      </c>
      <c r="GL44" t="e">
        <f>AND(Birds!BB10,"AAAAAF79/sE=")</f>
        <v>#VALUE!</v>
      </c>
      <c r="GM44" t="e">
        <f>AND(Birds!BC10,"AAAAAF79/sI=")</f>
        <v>#VALUE!</v>
      </c>
      <c r="GN44" t="e">
        <f>AND(Birds!BD10,"AAAAAF79/sM=")</f>
        <v>#VALUE!</v>
      </c>
      <c r="GO44" t="e">
        <f>AND(Birds!BE10,"AAAAAF79/sQ=")</f>
        <v>#VALUE!</v>
      </c>
      <c r="GP44" t="e">
        <f>AND(Birds!BF10,"AAAAAF79/sU=")</f>
        <v>#VALUE!</v>
      </c>
      <c r="GQ44" t="e">
        <f>AND(Birds!BG10,"AAAAAF79/sY=")</f>
        <v>#VALUE!</v>
      </c>
      <c r="GR44" t="e">
        <f>AND(Birds!BH10,"AAAAAF79/sc=")</f>
        <v>#VALUE!</v>
      </c>
      <c r="GS44" t="e">
        <f>AND(Birds!BI10,"AAAAAF79/sg=")</f>
        <v>#VALUE!</v>
      </c>
      <c r="GT44" t="e">
        <f>AND(Birds!BJ10,"AAAAAF79/sk=")</f>
        <v>#VALUE!</v>
      </c>
      <c r="GU44" t="e">
        <f>AND(Birds!BK10,"AAAAAF79/so=")</f>
        <v>#VALUE!</v>
      </c>
      <c r="GV44" t="e">
        <f>AND(Birds!BL10,"AAAAAF79/ss=")</f>
        <v>#VALUE!</v>
      </c>
      <c r="GW44" t="e">
        <f>AND(Birds!BM10,"AAAAAF79/sw=")</f>
        <v>#VALUE!</v>
      </c>
      <c r="GX44" t="e">
        <f>AND(Birds!BN10,"AAAAAF79/s0=")</f>
        <v>#VALUE!</v>
      </c>
      <c r="GY44" t="e">
        <f>AND(Birds!BO10,"AAAAAF79/s4=")</f>
        <v>#VALUE!</v>
      </c>
      <c r="GZ44" t="e">
        <f>AND(Birds!BP10,"AAAAAF79/s8=")</f>
        <v>#VALUE!</v>
      </c>
      <c r="HA44" t="e">
        <f>AND(Birds!BQ10,"AAAAAF79/tA=")</f>
        <v>#VALUE!</v>
      </c>
      <c r="HB44" t="e">
        <f>AND(Birds!BR10,"AAAAAF79/tE=")</f>
        <v>#VALUE!</v>
      </c>
      <c r="HC44" t="e">
        <f>AND(Birds!BS10,"AAAAAF79/tI=")</f>
        <v>#VALUE!</v>
      </c>
      <c r="HD44" t="e">
        <f>AND(Birds!BT10,"AAAAAF79/tM=")</f>
        <v>#VALUE!</v>
      </c>
      <c r="HE44" t="e">
        <f>AND(Birds!BU10,"AAAAAF79/tQ=")</f>
        <v>#VALUE!</v>
      </c>
      <c r="HF44" t="e">
        <f>AND(Birds!BV10,"AAAAAF79/tU=")</f>
        <v>#VALUE!</v>
      </c>
      <c r="HG44" t="e">
        <f>AND(Birds!BW10,"AAAAAF79/tY=")</f>
        <v>#VALUE!</v>
      </c>
      <c r="HH44" t="e">
        <f>AND(Birds!BX10,"AAAAAF79/tc=")</f>
        <v>#VALUE!</v>
      </c>
      <c r="HI44" t="e">
        <f>AND(Birds!BY10,"AAAAAF79/tg=")</f>
        <v>#VALUE!</v>
      </c>
      <c r="HJ44" t="e">
        <f>AND(Birds!BZ10,"AAAAAF79/tk=")</f>
        <v>#VALUE!</v>
      </c>
      <c r="HK44" t="e">
        <f>AND(Birds!CA10,"AAAAAF79/to=")</f>
        <v>#VALUE!</v>
      </c>
      <c r="HL44" t="e">
        <f>AND(Birds!CB10,"AAAAAF79/ts=")</f>
        <v>#VALUE!</v>
      </c>
      <c r="HM44" t="e">
        <f>AND(Birds!CC10,"AAAAAF79/tw=")</f>
        <v>#VALUE!</v>
      </c>
      <c r="HN44" t="e">
        <f>AND(Birds!CD10,"AAAAAF79/t0=")</f>
        <v>#VALUE!</v>
      </c>
      <c r="HO44" t="e">
        <f>AND(Birds!CE10,"AAAAAF79/t4=")</f>
        <v>#VALUE!</v>
      </c>
      <c r="HP44" t="e">
        <f>AND(Birds!CF10,"AAAAAF79/t8=")</f>
        <v>#VALUE!</v>
      </c>
      <c r="HQ44" t="e">
        <f>AND(Birds!CG10,"AAAAAF79/uA=")</f>
        <v>#VALUE!</v>
      </c>
      <c r="HR44" t="e">
        <f>AND(Birds!CH10,"AAAAAF79/uE=")</f>
        <v>#VALUE!</v>
      </c>
      <c r="HS44" t="e">
        <f>AND(Birds!CI10,"AAAAAF79/uI=")</f>
        <v>#VALUE!</v>
      </c>
      <c r="HT44" t="e">
        <f>AND(Birds!CJ10,"AAAAAF79/uM=")</f>
        <v>#VALUE!</v>
      </c>
      <c r="HU44" t="e">
        <f>AND(Birds!CK10,"AAAAAF79/uQ=")</f>
        <v>#VALUE!</v>
      </c>
      <c r="HV44" t="e">
        <f>AND(Birds!CL10,"AAAAAF79/uU=")</f>
        <v>#VALUE!</v>
      </c>
      <c r="HW44" t="e">
        <f>AND(Birds!CM10,"AAAAAF79/uY=")</f>
        <v>#VALUE!</v>
      </c>
      <c r="HX44" t="e">
        <f>AND(Birds!CN10,"AAAAAF79/uc=")</f>
        <v>#VALUE!</v>
      </c>
      <c r="HY44" t="e">
        <f>AND(Birds!CO10,"AAAAAF79/ug=")</f>
        <v>#VALUE!</v>
      </c>
      <c r="HZ44" t="e">
        <f>AND(Birds!CP10,"AAAAAF79/uk=")</f>
        <v>#VALUE!</v>
      </c>
      <c r="IA44" t="e">
        <f>AND(Birds!CQ10,"AAAAAF79/uo=")</f>
        <v>#VALUE!</v>
      </c>
      <c r="IB44" t="e">
        <f>AND(Birds!CR10,"AAAAAF79/us=")</f>
        <v>#VALUE!</v>
      </c>
      <c r="IC44" t="e">
        <f>AND(Birds!CS10,"AAAAAF79/uw=")</f>
        <v>#VALUE!</v>
      </c>
      <c r="ID44" t="e">
        <f>AND(Birds!CT10,"AAAAAF79/u0=")</f>
        <v>#VALUE!</v>
      </c>
      <c r="IE44" t="e">
        <f>AND(Birds!CU10,"AAAAAF79/u4=")</f>
        <v>#VALUE!</v>
      </c>
      <c r="IF44" t="e">
        <f>AND(Birds!CV10,"AAAAAF79/u8=")</f>
        <v>#VALUE!</v>
      </c>
      <c r="IG44" t="e">
        <f>AND(Birds!CW10,"AAAAAF79/vA=")</f>
        <v>#VALUE!</v>
      </c>
      <c r="IH44" t="e">
        <f>AND(Birds!CX10,"AAAAAF79/vE=")</f>
        <v>#VALUE!</v>
      </c>
      <c r="II44" t="e">
        <f>AND(Birds!CY10,"AAAAAF79/vI=")</f>
        <v>#VALUE!</v>
      </c>
      <c r="IJ44" t="e">
        <f>AND(Birds!CZ10,"AAAAAF79/vM=")</f>
        <v>#VALUE!</v>
      </c>
      <c r="IK44" t="e">
        <f>AND(Birds!DA10,"AAAAAF79/vQ=")</f>
        <v>#VALUE!</v>
      </c>
      <c r="IL44" t="e">
        <f>AND(Birds!DB10,"AAAAAF79/vU=")</f>
        <v>#VALUE!</v>
      </c>
      <c r="IM44" t="e">
        <f>AND(Birds!DC10,"AAAAAF79/vY=")</f>
        <v>#VALUE!</v>
      </c>
      <c r="IN44" t="e">
        <f>AND(Birds!DD10,"AAAAAF79/vc=")</f>
        <v>#VALUE!</v>
      </c>
      <c r="IO44" t="e">
        <f>AND(Birds!DE10,"AAAAAF79/vg=")</f>
        <v>#VALUE!</v>
      </c>
      <c r="IP44" t="e">
        <f>AND(Birds!DF10,"AAAAAF79/vk=")</f>
        <v>#VALUE!</v>
      </c>
      <c r="IQ44" t="e">
        <f>AND(Birds!DG10,"AAAAAF79/vo=")</f>
        <v>#VALUE!</v>
      </c>
      <c r="IR44" t="e">
        <f>AND(Birds!DH10,"AAAAAF79/vs=")</f>
        <v>#VALUE!</v>
      </c>
      <c r="IS44" t="e">
        <f>AND(Birds!DI10,"AAAAAF79/vw=")</f>
        <v>#VALUE!</v>
      </c>
      <c r="IT44" t="e">
        <f>AND(Birds!DJ10,"AAAAAF79/v0=")</f>
        <v>#VALUE!</v>
      </c>
      <c r="IU44" t="e">
        <f>AND(Birds!DK10,"AAAAAF79/v4=")</f>
        <v>#VALUE!</v>
      </c>
      <c r="IV44" t="e">
        <f>AND(Birds!DL10,"AAAAAF79/v8=")</f>
        <v>#VALUE!</v>
      </c>
    </row>
    <row r="45" spans="1:256">
      <c r="A45" t="e">
        <f>AND(Birds!DM10,"AAAAAH5UcQA=")</f>
        <v>#VALUE!</v>
      </c>
      <c r="B45" t="e">
        <f>AND(Birds!DN10,"AAAAAH5UcQE=")</f>
        <v>#VALUE!</v>
      </c>
      <c r="C45" t="e">
        <f>AND(Birds!DO10,"AAAAAH5UcQI=")</f>
        <v>#VALUE!</v>
      </c>
      <c r="D45" t="e">
        <f>AND(Birds!DP10,"AAAAAH5UcQM=")</f>
        <v>#VALUE!</v>
      </c>
      <c r="E45" t="e">
        <f>AND(Birds!DQ10,"AAAAAH5UcQQ=")</f>
        <v>#VALUE!</v>
      </c>
      <c r="F45" t="e">
        <f>AND(Birds!DR10,"AAAAAH5UcQU=")</f>
        <v>#VALUE!</v>
      </c>
      <c r="G45" t="e">
        <f>AND(Birds!DS10,"AAAAAH5UcQY=")</f>
        <v>#VALUE!</v>
      </c>
      <c r="H45" t="e">
        <f>AND(Birds!DT10,"AAAAAH5UcQc=")</f>
        <v>#VALUE!</v>
      </c>
      <c r="I45" t="e">
        <f>AND(Birds!DU10,"AAAAAH5UcQg=")</f>
        <v>#VALUE!</v>
      </c>
      <c r="J45" t="e">
        <f>AND(Birds!DV10,"AAAAAH5UcQk=")</f>
        <v>#VALUE!</v>
      </c>
      <c r="K45" t="e">
        <f>AND(Birds!DW10,"AAAAAH5UcQo=")</f>
        <v>#VALUE!</v>
      </c>
      <c r="L45" t="e">
        <f>AND(Birds!DX10,"AAAAAH5UcQs=")</f>
        <v>#VALUE!</v>
      </c>
      <c r="M45" t="e">
        <f>AND(Birds!DY10,"AAAAAH5UcQw=")</f>
        <v>#VALUE!</v>
      </c>
      <c r="N45" t="e">
        <f>AND(Birds!DZ10,"AAAAAH5UcQ0=")</f>
        <v>#VALUE!</v>
      </c>
      <c r="O45" t="e">
        <f>AND(Birds!EA10,"AAAAAH5UcQ4=")</f>
        <v>#VALUE!</v>
      </c>
      <c r="P45" t="e">
        <f>AND(Birds!EB10,"AAAAAH5UcQ8=")</f>
        <v>#VALUE!</v>
      </c>
      <c r="Q45" t="e">
        <f>AND(Birds!EC10,"AAAAAH5UcRA=")</f>
        <v>#VALUE!</v>
      </c>
      <c r="R45" t="e">
        <f>AND(Birds!ED10,"AAAAAH5UcRE=")</f>
        <v>#VALUE!</v>
      </c>
      <c r="S45" t="e">
        <f>AND(Birds!EE10,"AAAAAH5UcRI=")</f>
        <v>#VALUE!</v>
      </c>
      <c r="T45" t="e">
        <f>AND(Birds!EF10,"AAAAAH5UcRM=")</f>
        <v>#VALUE!</v>
      </c>
      <c r="U45" t="e">
        <f>AND(Birds!EG10,"AAAAAH5UcRQ=")</f>
        <v>#VALUE!</v>
      </c>
      <c r="V45" t="e">
        <f>AND(Birds!EH10,"AAAAAH5UcRU=")</f>
        <v>#VALUE!</v>
      </c>
      <c r="W45" t="e">
        <f>AND(Birds!EI10,"AAAAAH5UcRY=")</f>
        <v>#VALUE!</v>
      </c>
      <c r="X45" t="e">
        <f>AND(Birds!EJ10,"AAAAAH5UcRc=")</f>
        <v>#VALUE!</v>
      </c>
      <c r="Y45" t="e">
        <f>AND(Birds!EK10,"AAAAAH5UcRg=")</f>
        <v>#VALUE!</v>
      </c>
      <c r="Z45" t="e">
        <f>AND(Birds!EL10,"AAAAAH5UcRk=")</f>
        <v>#VALUE!</v>
      </c>
      <c r="AA45" t="e">
        <f>AND(Birds!EM10,"AAAAAH5UcRo=")</f>
        <v>#VALUE!</v>
      </c>
      <c r="AB45" t="e">
        <f>AND(Birds!EN10,"AAAAAH5UcRs=")</f>
        <v>#VALUE!</v>
      </c>
      <c r="AC45" t="e">
        <f>AND(Birds!EO10,"AAAAAH5UcRw=")</f>
        <v>#VALUE!</v>
      </c>
      <c r="AD45" t="e">
        <f>AND(Birds!EP10,"AAAAAH5UcR0=")</f>
        <v>#VALUE!</v>
      </c>
      <c r="AE45" t="e">
        <f>AND(Birds!EQ10,"AAAAAH5UcR4=")</f>
        <v>#VALUE!</v>
      </c>
      <c r="AF45" t="e">
        <f>AND(Birds!ER10,"AAAAAH5UcR8=")</f>
        <v>#VALUE!</v>
      </c>
      <c r="AG45" t="e">
        <f>AND(Birds!ES10,"AAAAAH5UcSA=")</f>
        <v>#VALUE!</v>
      </c>
      <c r="AH45" t="e">
        <f>AND(Birds!ET10,"AAAAAH5UcSE=")</f>
        <v>#VALUE!</v>
      </c>
      <c r="AI45" t="e">
        <f>AND(Birds!EU10,"AAAAAH5UcSI=")</f>
        <v>#VALUE!</v>
      </c>
      <c r="AJ45" t="e">
        <f>AND(Birds!EV10,"AAAAAH5UcSM=")</f>
        <v>#VALUE!</v>
      </c>
      <c r="AK45" t="e">
        <f>AND(Birds!EW10,"AAAAAH5UcSQ=")</f>
        <v>#VALUE!</v>
      </c>
      <c r="AL45" t="e">
        <f>AND(Birds!EX10,"AAAAAH5UcSU=")</f>
        <v>#VALUE!</v>
      </c>
      <c r="AM45" t="e">
        <f>AND(Birds!EY10,"AAAAAH5UcSY=")</f>
        <v>#VALUE!</v>
      </c>
      <c r="AN45" t="e">
        <f>AND(Birds!EZ10,"AAAAAH5UcSc=")</f>
        <v>#VALUE!</v>
      </c>
      <c r="AO45" t="e">
        <f>AND(Birds!FA10,"AAAAAH5UcSg=")</f>
        <v>#VALUE!</v>
      </c>
      <c r="AP45" t="e">
        <f>AND(Birds!FB10,"AAAAAH5UcSk=")</f>
        <v>#VALUE!</v>
      </c>
      <c r="AQ45" t="e">
        <f>AND(Birds!FC10,"AAAAAH5UcSo=")</f>
        <v>#VALUE!</v>
      </c>
      <c r="AR45" t="e">
        <f>AND(Birds!FD10,"AAAAAH5UcSs=")</f>
        <v>#VALUE!</v>
      </c>
      <c r="AS45" t="e">
        <f>AND(Birds!FE10,"AAAAAH5UcSw=")</f>
        <v>#VALUE!</v>
      </c>
      <c r="AT45" t="e">
        <f>AND(Birds!FF10,"AAAAAH5UcS0=")</f>
        <v>#VALUE!</v>
      </c>
      <c r="AU45" t="e">
        <f>AND(Birds!FG10,"AAAAAH5UcS4=")</f>
        <v>#VALUE!</v>
      </c>
      <c r="AV45" t="e">
        <f>AND(Birds!FH10,"AAAAAH5UcS8=")</f>
        <v>#VALUE!</v>
      </c>
      <c r="AW45" t="e">
        <f>AND(Birds!FI10,"AAAAAH5UcTA=")</f>
        <v>#VALUE!</v>
      </c>
      <c r="AX45" t="e">
        <f>AND(Birds!FJ10,"AAAAAH5UcTE=")</f>
        <v>#VALUE!</v>
      </c>
      <c r="AY45" t="e">
        <f>AND(Birds!FK10,"AAAAAH5UcTI=")</f>
        <v>#VALUE!</v>
      </c>
      <c r="AZ45" t="e">
        <f>AND(Birds!FL10,"AAAAAH5UcTM=")</f>
        <v>#VALUE!</v>
      </c>
      <c r="BA45" t="e">
        <f>AND(Birds!FM10,"AAAAAH5UcTQ=")</f>
        <v>#VALUE!</v>
      </c>
      <c r="BB45" t="e">
        <f>AND(Birds!FN10,"AAAAAH5UcTU=")</f>
        <v>#VALUE!</v>
      </c>
      <c r="BC45" t="e">
        <f>AND(Birds!FO10,"AAAAAH5UcTY=")</f>
        <v>#VALUE!</v>
      </c>
      <c r="BD45" t="e">
        <f>AND(Birds!FP10,"AAAAAH5UcTc=")</f>
        <v>#VALUE!</v>
      </c>
      <c r="BE45" t="e">
        <f>AND(Birds!FQ10,"AAAAAH5UcTg=")</f>
        <v>#VALUE!</v>
      </c>
      <c r="BF45" t="e">
        <f>AND(Birds!FR10,"AAAAAH5UcTk=")</f>
        <v>#VALUE!</v>
      </c>
      <c r="BG45" t="e">
        <f>AND(Birds!FS10,"AAAAAH5UcTo=")</f>
        <v>#VALUE!</v>
      </c>
      <c r="BH45" t="e">
        <f>AND(Birds!FT10,"AAAAAH5UcTs=")</f>
        <v>#VALUE!</v>
      </c>
      <c r="BI45" t="e">
        <f>AND(Birds!FU10,"AAAAAH5UcTw=")</f>
        <v>#VALUE!</v>
      </c>
      <c r="BJ45" t="e">
        <f>AND(Birds!FV10,"AAAAAH5UcT0=")</f>
        <v>#VALUE!</v>
      </c>
      <c r="BK45" t="e">
        <f>AND(Birds!FW10,"AAAAAH5UcT4=")</f>
        <v>#VALUE!</v>
      </c>
      <c r="BL45" t="e">
        <f>AND(Birds!FX10,"AAAAAH5UcT8=")</f>
        <v>#VALUE!</v>
      </c>
      <c r="BM45" t="e">
        <f>AND(Birds!FY10,"AAAAAH5UcUA=")</f>
        <v>#VALUE!</v>
      </c>
      <c r="BN45" t="e">
        <f>AND(Birds!FZ10,"AAAAAH5UcUE=")</f>
        <v>#VALUE!</v>
      </c>
      <c r="BO45" t="e">
        <f>AND(Birds!GA10,"AAAAAH5UcUI=")</f>
        <v>#VALUE!</v>
      </c>
      <c r="BP45" t="e">
        <f>AND(Birds!GB10,"AAAAAH5UcUM=")</f>
        <v>#VALUE!</v>
      </c>
      <c r="BQ45" t="e">
        <f>AND(Birds!GC10,"AAAAAH5UcUQ=")</f>
        <v>#VALUE!</v>
      </c>
      <c r="BR45" t="e">
        <f>AND(Birds!GD10,"AAAAAH5UcUU=")</f>
        <v>#VALUE!</v>
      </c>
      <c r="BS45" t="e">
        <f>AND(Birds!GE10,"AAAAAH5UcUY=")</f>
        <v>#VALUE!</v>
      </c>
      <c r="BT45" t="e">
        <f>AND(Birds!GF10,"AAAAAH5UcUc=")</f>
        <v>#VALUE!</v>
      </c>
      <c r="BU45" t="e">
        <f>AND(Birds!GG10,"AAAAAH5UcUg=")</f>
        <v>#VALUE!</v>
      </c>
      <c r="BV45" t="e">
        <f>AND(Birds!GH10,"AAAAAH5UcUk=")</f>
        <v>#VALUE!</v>
      </c>
      <c r="BW45" t="e">
        <f>AND(Birds!GI10,"AAAAAH5UcUo=")</f>
        <v>#VALUE!</v>
      </c>
      <c r="BX45" t="e">
        <f>AND(Birds!GJ10,"AAAAAH5UcUs=")</f>
        <v>#VALUE!</v>
      </c>
      <c r="BY45" t="e">
        <f>AND(Birds!GK10,"AAAAAH5UcUw=")</f>
        <v>#VALUE!</v>
      </c>
      <c r="BZ45" t="e">
        <f>AND(Birds!GL10,"AAAAAH5UcU0=")</f>
        <v>#VALUE!</v>
      </c>
      <c r="CA45" t="e">
        <f>AND(Birds!GM10,"AAAAAH5UcU4=")</f>
        <v>#VALUE!</v>
      </c>
      <c r="CB45">
        <f>IF(Birds!11:11,"AAAAAH5UcU8=",0)</f>
        <v>0</v>
      </c>
      <c r="CC45" t="e">
        <f>AND(Birds!A11,"AAAAAH5UcVA=")</f>
        <v>#VALUE!</v>
      </c>
      <c r="CD45" t="e">
        <f>AND(Birds!B11,"AAAAAH5UcVE=")</f>
        <v>#VALUE!</v>
      </c>
      <c r="CE45" t="e">
        <f>AND(Birds!C11,"AAAAAH5UcVI=")</f>
        <v>#VALUE!</v>
      </c>
      <c r="CF45" t="e">
        <f>AND(Birds!D11,"AAAAAH5UcVM=")</f>
        <v>#VALUE!</v>
      </c>
      <c r="CG45" t="e">
        <f>AND(Birds!E11,"AAAAAH5UcVQ=")</f>
        <v>#VALUE!</v>
      </c>
      <c r="CH45" t="e">
        <f>AND(Birds!F11,"AAAAAH5UcVU=")</f>
        <v>#VALUE!</v>
      </c>
      <c r="CI45" t="e">
        <f>AND(Birds!G11,"AAAAAH5UcVY=")</f>
        <v>#VALUE!</v>
      </c>
      <c r="CJ45" t="e">
        <f>AND(Birds!H11,"AAAAAH5UcVc=")</f>
        <v>#VALUE!</v>
      </c>
      <c r="CK45" t="e">
        <f>AND(Birds!I11,"AAAAAH5UcVg=")</f>
        <v>#VALUE!</v>
      </c>
      <c r="CL45" t="e">
        <f>AND(Birds!J11,"AAAAAH5UcVk=")</f>
        <v>#VALUE!</v>
      </c>
      <c r="CM45" t="e">
        <f>AND(Birds!K11,"AAAAAH5UcVo=")</f>
        <v>#VALUE!</v>
      </c>
      <c r="CN45" t="e">
        <f>AND(Birds!L11,"AAAAAH5UcVs=")</f>
        <v>#VALUE!</v>
      </c>
      <c r="CO45" t="e">
        <f>AND(Birds!M11,"AAAAAH5UcVw=")</f>
        <v>#VALUE!</v>
      </c>
      <c r="CP45" t="e">
        <f>AND(Birds!N11,"AAAAAH5UcV0=")</f>
        <v>#VALUE!</v>
      </c>
      <c r="CQ45" t="e">
        <f>AND(Birds!O11,"AAAAAH5UcV4=")</f>
        <v>#VALUE!</v>
      </c>
      <c r="CR45" t="e">
        <f>AND(Birds!P11,"AAAAAH5UcV8=")</f>
        <v>#VALUE!</v>
      </c>
      <c r="CS45" t="e">
        <f>AND(Birds!Q11,"AAAAAH5UcWA=")</f>
        <v>#VALUE!</v>
      </c>
      <c r="CT45" t="e">
        <f>AND(Birds!R11,"AAAAAH5UcWE=")</f>
        <v>#VALUE!</v>
      </c>
      <c r="CU45" t="e">
        <f>AND(Birds!S11,"AAAAAH5UcWI=")</f>
        <v>#VALUE!</v>
      </c>
      <c r="CV45" t="e">
        <f>AND(Birds!T11,"AAAAAH5UcWM=")</f>
        <v>#VALUE!</v>
      </c>
      <c r="CW45" t="e">
        <f>AND(Birds!U11,"AAAAAH5UcWQ=")</f>
        <v>#VALUE!</v>
      </c>
      <c r="CX45" t="e">
        <f>AND(Birds!V11,"AAAAAH5UcWU=")</f>
        <v>#VALUE!</v>
      </c>
      <c r="CY45" t="e">
        <f>AND(Birds!W11,"AAAAAH5UcWY=")</f>
        <v>#VALUE!</v>
      </c>
      <c r="CZ45" t="e">
        <f>AND(Birds!X11,"AAAAAH5UcWc=")</f>
        <v>#VALUE!</v>
      </c>
      <c r="DA45" t="e">
        <f>AND(Birds!Y11,"AAAAAH5UcWg=")</f>
        <v>#VALUE!</v>
      </c>
      <c r="DB45" t="e">
        <f>AND(Birds!Z11,"AAAAAH5UcWk=")</f>
        <v>#VALUE!</v>
      </c>
      <c r="DC45" t="e">
        <f>AND(Birds!AA11,"AAAAAH5UcWo=")</f>
        <v>#VALUE!</v>
      </c>
      <c r="DD45" t="e">
        <f>AND(Birds!AB11,"AAAAAH5UcWs=")</f>
        <v>#VALUE!</v>
      </c>
      <c r="DE45" t="e">
        <f>AND(Birds!AC11,"AAAAAH5UcWw=")</f>
        <v>#VALUE!</v>
      </c>
      <c r="DF45" t="e">
        <f>AND(Birds!AD11,"AAAAAH5UcW0=")</f>
        <v>#VALUE!</v>
      </c>
      <c r="DG45" t="e">
        <f>AND(Birds!AE11,"AAAAAH5UcW4=")</f>
        <v>#VALUE!</v>
      </c>
      <c r="DH45" t="e">
        <f>AND(Birds!AF11,"AAAAAH5UcW8=")</f>
        <v>#VALUE!</v>
      </c>
      <c r="DI45" t="e">
        <f>AND(Birds!AG11,"AAAAAH5UcXA=")</f>
        <v>#VALUE!</v>
      </c>
      <c r="DJ45" t="e">
        <f>AND(Birds!AH11,"AAAAAH5UcXE=")</f>
        <v>#VALUE!</v>
      </c>
      <c r="DK45" t="e">
        <f>AND(Birds!AI11,"AAAAAH5UcXI=")</f>
        <v>#VALUE!</v>
      </c>
      <c r="DL45" t="e">
        <f>AND(Birds!AJ11,"AAAAAH5UcXM=")</f>
        <v>#VALUE!</v>
      </c>
      <c r="DM45" t="e">
        <f>AND(Birds!AK11,"AAAAAH5UcXQ=")</f>
        <v>#VALUE!</v>
      </c>
      <c r="DN45" t="e">
        <f>AND(Birds!AL11,"AAAAAH5UcXU=")</f>
        <v>#VALUE!</v>
      </c>
      <c r="DO45" t="e">
        <f>AND(Birds!AM11,"AAAAAH5UcXY=")</f>
        <v>#VALUE!</v>
      </c>
      <c r="DP45" t="e">
        <f>AND(Birds!AN11,"AAAAAH5UcXc=")</f>
        <v>#VALUE!</v>
      </c>
      <c r="DQ45" t="e">
        <f>AND(Birds!AO11,"AAAAAH5UcXg=")</f>
        <v>#VALUE!</v>
      </c>
      <c r="DR45" t="e">
        <f>AND(Birds!AP11,"AAAAAH5UcXk=")</f>
        <v>#VALUE!</v>
      </c>
      <c r="DS45" t="e">
        <f>AND(Birds!AQ11,"AAAAAH5UcXo=")</f>
        <v>#VALUE!</v>
      </c>
      <c r="DT45" t="e">
        <f>AND(Birds!AR11,"AAAAAH5UcXs=")</f>
        <v>#VALUE!</v>
      </c>
      <c r="DU45" t="e">
        <f>AND(Birds!AS11,"AAAAAH5UcXw=")</f>
        <v>#VALUE!</v>
      </c>
      <c r="DV45" t="e">
        <f>AND(Birds!AT11,"AAAAAH5UcX0=")</f>
        <v>#VALUE!</v>
      </c>
      <c r="DW45" t="e">
        <f>AND(Birds!AU11,"AAAAAH5UcX4=")</f>
        <v>#VALUE!</v>
      </c>
      <c r="DX45" t="e">
        <f>AND(Birds!AV11,"AAAAAH5UcX8=")</f>
        <v>#VALUE!</v>
      </c>
      <c r="DY45" t="e">
        <f>AND(Birds!AW11,"AAAAAH5UcYA=")</f>
        <v>#VALUE!</v>
      </c>
      <c r="DZ45" t="e">
        <f>AND(Birds!AX11,"AAAAAH5UcYE=")</f>
        <v>#VALUE!</v>
      </c>
      <c r="EA45" t="e">
        <f>AND(Birds!AY11,"AAAAAH5UcYI=")</f>
        <v>#VALUE!</v>
      </c>
      <c r="EB45" t="e">
        <f>AND(Birds!AZ11,"AAAAAH5UcYM=")</f>
        <v>#VALUE!</v>
      </c>
      <c r="EC45" t="e">
        <f>AND(Birds!BA11,"AAAAAH5UcYQ=")</f>
        <v>#VALUE!</v>
      </c>
      <c r="ED45" t="e">
        <f>AND(Birds!BB11,"AAAAAH5UcYU=")</f>
        <v>#VALUE!</v>
      </c>
      <c r="EE45" t="e">
        <f>AND(Birds!BC11,"AAAAAH5UcYY=")</f>
        <v>#VALUE!</v>
      </c>
      <c r="EF45" t="e">
        <f>AND(Birds!BD11,"AAAAAH5UcYc=")</f>
        <v>#VALUE!</v>
      </c>
      <c r="EG45" t="e">
        <f>AND(Birds!BE11,"AAAAAH5UcYg=")</f>
        <v>#VALUE!</v>
      </c>
      <c r="EH45" t="e">
        <f>AND(Birds!BF11,"AAAAAH5UcYk=")</f>
        <v>#VALUE!</v>
      </c>
      <c r="EI45" t="e">
        <f>AND(Birds!BG11,"AAAAAH5UcYo=")</f>
        <v>#VALUE!</v>
      </c>
      <c r="EJ45" t="e">
        <f>AND(Birds!BH11,"AAAAAH5UcYs=")</f>
        <v>#VALUE!</v>
      </c>
      <c r="EK45" t="e">
        <f>AND(Birds!BI11,"AAAAAH5UcYw=")</f>
        <v>#VALUE!</v>
      </c>
      <c r="EL45" t="e">
        <f>AND(Birds!BJ11,"AAAAAH5UcY0=")</f>
        <v>#VALUE!</v>
      </c>
      <c r="EM45" t="e">
        <f>AND(Birds!BK11,"AAAAAH5UcY4=")</f>
        <v>#VALUE!</v>
      </c>
      <c r="EN45" t="e">
        <f>AND(Birds!BL11,"AAAAAH5UcY8=")</f>
        <v>#VALUE!</v>
      </c>
      <c r="EO45" t="e">
        <f>AND(Birds!BM11,"AAAAAH5UcZA=")</f>
        <v>#VALUE!</v>
      </c>
      <c r="EP45" t="e">
        <f>AND(Birds!BN11,"AAAAAH5UcZE=")</f>
        <v>#VALUE!</v>
      </c>
      <c r="EQ45" t="e">
        <f>AND(Birds!BO11,"AAAAAH5UcZI=")</f>
        <v>#VALUE!</v>
      </c>
      <c r="ER45" t="e">
        <f>AND(Birds!BP11,"AAAAAH5UcZM=")</f>
        <v>#VALUE!</v>
      </c>
      <c r="ES45" t="e">
        <f>AND(Birds!BQ11,"AAAAAH5UcZQ=")</f>
        <v>#VALUE!</v>
      </c>
      <c r="ET45" t="e">
        <f>AND(Birds!BR11,"AAAAAH5UcZU=")</f>
        <v>#VALUE!</v>
      </c>
      <c r="EU45" t="e">
        <f>AND(Birds!BS11,"AAAAAH5UcZY=")</f>
        <v>#VALUE!</v>
      </c>
      <c r="EV45" t="e">
        <f>AND(Birds!BT11,"AAAAAH5UcZc=")</f>
        <v>#VALUE!</v>
      </c>
      <c r="EW45" t="e">
        <f>AND(Birds!BU11,"AAAAAH5UcZg=")</f>
        <v>#VALUE!</v>
      </c>
      <c r="EX45" t="e">
        <f>AND(Birds!BV11,"AAAAAH5UcZk=")</f>
        <v>#VALUE!</v>
      </c>
      <c r="EY45" t="e">
        <f>AND(Birds!BW11,"AAAAAH5UcZo=")</f>
        <v>#VALUE!</v>
      </c>
      <c r="EZ45" t="e">
        <f>AND(Birds!BX11,"AAAAAH5UcZs=")</f>
        <v>#VALUE!</v>
      </c>
      <c r="FA45" t="e">
        <f>AND(Birds!BY11,"AAAAAH5UcZw=")</f>
        <v>#VALUE!</v>
      </c>
      <c r="FB45" t="e">
        <f>AND(Birds!BZ11,"AAAAAH5UcZ0=")</f>
        <v>#VALUE!</v>
      </c>
      <c r="FC45" t="e">
        <f>AND(Birds!CA11,"AAAAAH5UcZ4=")</f>
        <v>#VALUE!</v>
      </c>
      <c r="FD45" t="e">
        <f>AND(Birds!CB11,"AAAAAH5UcZ8=")</f>
        <v>#VALUE!</v>
      </c>
      <c r="FE45" t="e">
        <f>AND(Birds!CC11,"AAAAAH5UcaA=")</f>
        <v>#VALUE!</v>
      </c>
      <c r="FF45" t="e">
        <f>AND(Birds!CD11,"AAAAAH5UcaE=")</f>
        <v>#VALUE!</v>
      </c>
      <c r="FG45" t="e">
        <f>AND(Birds!CE11,"AAAAAH5UcaI=")</f>
        <v>#VALUE!</v>
      </c>
      <c r="FH45" t="e">
        <f>AND(Birds!CF11,"AAAAAH5UcaM=")</f>
        <v>#VALUE!</v>
      </c>
      <c r="FI45" t="e">
        <f>AND(Birds!CG11,"AAAAAH5UcaQ=")</f>
        <v>#VALUE!</v>
      </c>
      <c r="FJ45" t="e">
        <f>AND(Birds!CH11,"AAAAAH5UcaU=")</f>
        <v>#VALUE!</v>
      </c>
      <c r="FK45" t="e">
        <f>AND(Birds!CI11,"AAAAAH5UcaY=")</f>
        <v>#VALUE!</v>
      </c>
      <c r="FL45" t="e">
        <f>AND(Birds!CJ11,"AAAAAH5Ucac=")</f>
        <v>#VALUE!</v>
      </c>
      <c r="FM45" t="e">
        <f>AND(Birds!CK11,"AAAAAH5Ucag=")</f>
        <v>#VALUE!</v>
      </c>
      <c r="FN45" t="e">
        <f>AND(Birds!CL11,"AAAAAH5Ucak=")</f>
        <v>#VALUE!</v>
      </c>
      <c r="FO45" t="e">
        <f>AND(Birds!CM11,"AAAAAH5Ucao=")</f>
        <v>#VALUE!</v>
      </c>
      <c r="FP45" t="e">
        <f>AND(Birds!CN11,"AAAAAH5Ucas=")</f>
        <v>#VALUE!</v>
      </c>
      <c r="FQ45" t="e">
        <f>AND(Birds!CO11,"AAAAAH5Ucaw=")</f>
        <v>#VALUE!</v>
      </c>
      <c r="FR45" t="e">
        <f>AND(Birds!CP11,"AAAAAH5Uca0=")</f>
        <v>#VALUE!</v>
      </c>
      <c r="FS45" t="e">
        <f>AND(Birds!CQ11,"AAAAAH5Uca4=")</f>
        <v>#VALUE!</v>
      </c>
      <c r="FT45" t="e">
        <f>AND(Birds!CR11,"AAAAAH5Uca8=")</f>
        <v>#VALUE!</v>
      </c>
      <c r="FU45" t="e">
        <f>AND(Birds!CS11,"AAAAAH5UcbA=")</f>
        <v>#VALUE!</v>
      </c>
      <c r="FV45" t="e">
        <f>AND(Birds!CT11,"AAAAAH5UcbE=")</f>
        <v>#VALUE!</v>
      </c>
      <c r="FW45" t="e">
        <f>AND(Birds!CU11,"AAAAAH5UcbI=")</f>
        <v>#VALUE!</v>
      </c>
      <c r="FX45" t="e">
        <f>AND(Birds!CV11,"AAAAAH5UcbM=")</f>
        <v>#VALUE!</v>
      </c>
      <c r="FY45" t="e">
        <f>AND(Birds!CW11,"AAAAAH5UcbQ=")</f>
        <v>#VALUE!</v>
      </c>
      <c r="FZ45" t="e">
        <f>AND(Birds!CX11,"AAAAAH5UcbU=")</f>
        <v>#VALUE!</v>
      </c>
      <c r="GA45" t="e">
        <f>AND(Birds!CY11,"AAAAAH5UcbY=")</f>
        <v>#VALUE!</v>
      </c>
      <c r="GB45" t="e">
        <f>AND(Birds!CZ11,"AAAAAH5Ucbc=")</f>
        <v>#VALUE!</v>
      </c>
      <c r="GC45" t="e">
        <f>AND(Birds!DA11,"AAAAAH5Ucbg=")</f>
        <v>#VALUE!</v>
      </c>
      <c r="GD45" t="e">
        <f>AND(Birds!DB11,"AAAAAH5Ucbk=")</f>
        <v>#VALUE!</v>
      </c>
      <c r="GE45" t="e">
        <f>AND(Birds!DC11,"AAAAAH5Ucbo=")</f>
        <v>#VALUE!</v>
      </c>
      <c r="GF45" t="e">
        <f>AND(Birds!DD11,"AAAAAH5Ucbs=")</f>
        <v>#VALUE!</v>
      </c>
      <c r="GG45" t="e">
        <f>AND(Birds!DE11,"AAAAAH5Ucbw=")</f>
        <v>#VALUE!</v>
      </c>
      <c r="GH45" t="e">
        <f>AND(Birds!DF11,"AAAAAH5Ucb0=")</f>
        <v>#VALUE!</v>
      </c>
      <c r="GI45" t="e">
        <f>AND(Birds!DG11,"AAAAAH5Ucb4=")</f>
        <v>#VALUE!</v>
      </c>
      <c r="GJ45" t="e">
        <f>AND(Birds!DH11,"AAAAAH5Ucb8=")</f>
        <v>#VALUE!</v>
      </c>
      <c r="GK45" t="e">
        <f>AND(Birds!DI11,"AAAAAH5UccA=")</f>
        <v>#VALUE!</v>
      </c>
      <c r="GL45" t="e">
        <f>AND(Birds!DJ11,"AAAAAH5UccE=")</f>
        <v>#VALUE!</v>
      </c>
      <c r="GM45" t="e">
        <f>AND(Birds!DK11,"AAAAAH5UccI=")</f>
        <v>#VALUE!</v>
      </c>
      <c r="GN45" t="e">
        <f>AND(Birds!DL11,"AAAAAH5UccM=")</f>
        <v>#VALUE!</v>
      </c>
      <c r="GO45" t="e">
        <f>AND(Birds!DM11,"AAAAAH5UccQ=")</f>
        <v>#VALUE!</v>
      </c>
      <c r="GP45" t="e">
        <f>AND(Birds!DN11,"AAAAAH5UccU=")</f>
        <v>#VALUE!</v>
      </c>
      <c r="GQ45" t="e">
        <f>AND(Birds!DO11,"AAAAAH5UccY=")</f>
        <v>#VALUE!</v>
      </c>
      <c r="GR45" t="e">
        <f>AND(Birds!DP11,"AAAAAH5Uccc=")</f>
        <v>#VALUE!</v>
      </c>
      <c r="GS45" t="e">
        <f>AND(Birds!DQ11,"AAAAAH5Uccg=")</f>
        <v>#VALUE!</v>
      </c>
      <c r="GT45" t="e">
        <f>AND(Birds!DR11,"AAAAAH5Ucck=")</f>
        <v>#VALUE!</v>
      </c>
      <c r="GU45" t="e">
        <f>AND(Birds!DS11,"AAAAAH5Ucco=")</f>
        <v>#VALUE!</v>
      </c>
      <c r="GV45" t="e">
        <f>AND(Birds!DT11,"AAAAAH5Uccs=")</f>
        <v>#VALUE!</v>
      </c>
      <c r="GW45" t="e">
        <f>AND(Birds!DU11,"AAAAAH5Uccw=")</f>
        <v>#VALUE!</v>
      </c>
      <c r="GX45" t="e">
        <f>AND(Birds!DV11,"AAAAAH5Ucc0=")</f>
        <v>#VALUE!</v>
      </c>
      <c r="GY45" t="e">
        <f>AND(Birds!DW11,"AAAAAH5Ucc4=")</f>
        <v>#VALUE!</v>
      </c>
      <c r="GZ45" t="e">
        <f>AND(Birds!DX11,"AAAAAH5Ucc8=")</f>
        <v>#VALUE!</v>
      </c>
      <c r="HA45" t="e">
        <f>AND(Birds!DY11,"AAAAAH5UcdA=")</f>
        <v>#VALUE!</v>
      </c>
      <c r="HB45" t="e">
        <f>AND(Birds!DZ11,"AAAAAH5UcdE=")</f>
        <v>#VALUE!</v>
      </c>
      <c r="HC45" t="e">
        <f>AND(Birds!EA11,"AAAAAH5UcdI=")</f>
        <v>#VALUE!</v>
      </c>
      <c r="HD45" t="e">
        <f>AND(Birds!EB11,"AAAAAH5UcdM=")</f>
        <v>#VALUE!</v>
      </c>
      <c r="HE45" t="e">
        <f>AND(Birds!EC11,"AAAAAH5UcdQ=")</f>
        <v>#VALUE!</v>
      </c>
      <c r="HF45" t="e">
        <f>AND(Birds!ED11,"AAAAAH5UcdU=")</f>
        <v>#VALUE!</v>
      </c>
      <c r="HG45" t="e">
        <f>AND(Birds!EE11,"AAAAAH5UcdY=")</f>
        <v>#VALUE!</v>
      </c>
      <c r="HH45" t="e">
        <f>AND(Birds!EF11,"AAAAAH5Ucdc=")</f>
        <v>#VALUE!</v>
      </c>
      <c r="HI45" t="e">
        <f>AND(Birds!EG11,"AAAAAH5Ucdg=")</f>
        <v>#VALUE!</v>
      </c>
      <c r="HJ45" t="e">
        <f>AND(Birds!EH11,"AAAAAH5Ucdk=")</f>
        <v>#VALUE!</v>
      </c>
      <c r="HK45" t="e">
        <f>AND(Birds!EI11,"AAAAAH5Ucdo=")</f>
        <v>#VALUE!</v>
      </c>
      <c r="HL45" t="e">
        <f>AND(Birds!EJ11,"AAAAAH5Ucds=")</f>
        <v>#VALUE!</v>
      </c>
      <c r="HM45" t="e">
        <f>AND(Birds!EK11,"AAAAAH5Ucdw=")</f>
        <v>#VALUE!</v>
      </c>
      <c r="HN45" t="e">
        <f>AND(Birds!EL11,"AAAAAH5Ucd0=")</f>
        <v>#VALUE!</v>
      </c>
      <c r="HO45" t="e">
        <f>AND(Birds!EM11,"AAAAAH5Ucd4=")</f>
        <v>#VALUE!</v>
      </c>
      <c r="HP45" t="e">
        <f>AND(Birds!EN11,"AAAAAH5Ucd8=")</f>
        <v>#VALUE!</v>
      </c>
      <c r="HQ45" t="e">
        <f>AND(Birds!EO11,"AAAAAH5UceA=")</f>
        <v>#VALUE!</v>
      </c>
      <c r="HR45" t="e">
        <f>AND(Birds!EP11,"AAAAAH5UceE=")</f>
        <v>#VALUE!</v>
      </c>
      <c r="HS45" t="e">
        <f>AND(Birds!EQ11,"AAAAAH5UceI=")</f>
        <v>#VALUE!</v>
      </c>
      <c r="HT45" t="e">
        <f>AND(Birds!ER11,"AAAAAH5UceM=")</f>
        <v>#VALUE!</v>
      </c>
      <c r="HU45" t="e">
        <f>AND(Birds!ES11,"AAAAAH5UceQ=")</f>
        <v>#VALUE!</v>
      </c>
      <c r="HV45" t="e">
        <f>AND(Birds!ET11,"AAAAAH5UceU=")</f>
        <v>#VALUE!</v>
      </c>
      <c r="HW45" t="e">
        <f>AND(Birds!EU11,"AAAAAH5UceY=")</f>
        <v>#VALUE!</v>
      </c>
      <c r="HX45" t="e">
        <f>AND(Birds!EV11,"AAAAAH5Ucec=")</f>
        <v>#VALUE!</v>
      </c>
      <c r="HY45" t="e">
        <f>AND(Birds!EW11,"AAAAAH5Uceg=")</f>
        <v>#VALUE!</v>
      </c>
      <c r="HZ45" t="e">
        <f>AND(Birds!EX11,"AAAAAH5Ucek=")</f>
        <v>#VALUE!</v>
      </c>
      <c r="IA45" t="e">
        <f>AND(Birds!EY11,"AAAAAH5Uceo=")</f>
        <v>#VALUE!</v>
      </c>
      <c r="IB45" t="e">
        <f>AND(Birds!EZ11,"AAAAAH5Uces=")</f>
        <v>#VALUE!</v>
      </c>
      <c r="IC45" t="e">
        <f>AND(Birds!FA11,"AAAAAH5Ucew=")</f>
        <v>#VALUE!</v>
      </c>
      <c r="ID45" t="e">
        <f>AND(Birds!FB11,"AAAAAH5Uce0=")</f>
        <v>#VALUE!</v>
      </c>
      <c r="IE45" t="e">
        <f>AND(Birds!FC11,"AAAAAH5Uce4=")</f>
        <v>#VALUE!</v>
      </c>
      <c r="IF45" t="e">
        <f>AND(Birds!FD11,"AAAAAH5Uce8=")</f>
        <v>#VALUE!</v>
      </c>
      <c r="IG45" t="e">
        <f>AND(Birds!FE11,"AAAAAH5UcfA=")</f>
        <v>#VALUE!</v>
      </c>
      <c r="IH45" t="e">
        <f>AND(Birds!FF11,"AAAAAH5UcfE=")</f>
        <v>#VALUE!</v>
      </c>
      <c r="II45" t="e">
        <f>AND(Birds!FG11,"AAAAAH5UcfI=")</f>
        <v>#VALUE!</v>
      </c>
      <c r="IJ45" t="e">
        <f>AND(Birds!FH11,"AAAAAH5UcfM=")</f>
        <v>#VALUE!</v>
      </c>
      <c r="IK45" t="e">
        <f>AND(Birds!FI11,"AAAAAH5UcfQ=")</f>
        <v>#VALUE!</v>
      </c>
      <c r="IL45" t="e">
        <f>AND(Birds!FJ11,"AAAAAH5UcfU=")</f>
        <v>#VALUE!</v>
      </c>
      <c r="IM45" t="e">
        <f>AND(Birds!FK11,"AAAAAH5UcfY=")</f>
        <v>#VALUE!</v>
      </c>
      <c r="IN45" t="e">
        <f>AND(Birds!FL11,"AAAAAH5Ucfc=")</f>
        <v>#VALUE!</v>
      </c>
      <c r="IO45" t="e">
        <f>AND(Birds!FM11,"AAAAAH5Ucfg=")</f>
        <v>#VALUE!</v>
      </c>
      <c r="IP45" t="e">
        <f>AND(Birds!FN11,"AAAAAH5Ucfk=")</f>
        <v>#VALUE!</v>
      </c>
      <c r="IQ45" t="e">
        <f>AND(Birds!FO11,"AAAAAH5Ucfo=")</f>
        <v>#VALUE!</v>
      </c>
      <c r="IR45" t="e">
        <f>AND(Birds!FP11,"AAAAAH5Ucfs=")</f>
        <v>#VALUE!</v>
      </c>
      <c r="IS45" t="e">
        <f>AND(Birds!FQ11,"AAAAAH5Ucfw=")</f>
        <v>#VALUE!</v>
      </c>
      <c r="IT45" t="e">
        <f>AND(Birds!FR11,"AAAAAH5Ucf0=")</f>
        <v>#VALUE!</v>
      </c>
      <c r="IU45" t="e">
        <f>AND(Birds!FS11,"AAAAAH5Ucf4=")</f>
        <v>#VALUE!</v>
      </c>
      <c r="IV45" t="e">
        <f>AND(Birds!FT11,"AAAAAH5Ucf8=")</f>
        <v>#VALUE!</v>
      </c>
    </row>
    <row r="46" spans="1:256">
      <c r="A46" t="e">
        <f>AND(Birds!FU11,"AAAAAFzdrwA=")</f>
        <v>#VALUE!</v>
      </c>
      <c r="B46" t="e">
        <f>AND(Birds!FV11,"AAAAAFzdrwE=")</f>
        <v>#VALUE!</v>
      </c>
      <c r="C46" t="e">
        <f>AND(Birds!FW11,"AAAAAFzdrwI=")</f>
        <v>#VALUE!</v>
      </c>
      <c r="D46" t="e">
        <f>AND(Birds!FX11,"AAAAAFzdrwM=")</f>
        <v>#VALUE!</v>
      </c>
      <c r="E46" t="e">
        <f>AND(Birds!FY11,"AAAAAFzdrwQ=")</f>
        <v>#VALUE!</v>
      </c>
      <c r="F46" t="e">
        <f>AND(Birds!FZ11,"AAAAAFzdrwU=")</f>
        <v>#VALUE!</v>
      </c>
      <c r="G46" t="e">
        <f>AND(Birds!GA11,"AAAAAFzdrwY=")</f>
        <v>#VALUE!</v>
      </c>
      <c r="H46" t="e">
        <f>AND(Birds!GB11,"AAAAAFzdrwc=")</f>
        <v>#VALUE!</v>
      </c>
      <c r="I46" t="e">
        <f>AND(Birds!GC11,"AAAAAFzdrwg=")</f>
        <v>#VALUE!</v>
      </c>
      <c r="J46" t="e">
        <f>AND(Birds!GD11,"AAAAAFzdrwk=")</f>
        <v>#VALUE!</v>
      </c>
      <c r="K46" t="e">
        <f>AND(Birds!GE11,"AAAAAFzdrwo=")</f>
        <v>#VALUE!</v>
      </c>
      <c r="L46" t="e">
        <f>AND(Birds!GF11,"AAAAAFzdrws=")</f>
        <v>#VALUE!</v>
      </c>
      <c r="M46" t="e">
        <f>AND(Birds!GG11,"AAAAAFzdrww=")</f>
        <v>#VALUE!</v>
      </c>
      <c r="N46" t="e">
        <f>AND(Birds!GH11,"AAAAAFzdrw0=")</f>
        <v>#VALUE!</v>
      </c>
      <c r="O46" t="e">
        <f>AND(Birds!GI11,"AAAAAFzdrw4=")</f>
        <v>#VALUE!</v>
      </c>
      <c r="P46" t="e">
        <f>AND(Birds!GJ11,"AAAAAFzdrw8=")</f>
        <v>#VALUE!</v>
      </c>
      <c r="Q46" t="e">
        <f>AND(Birds!GK11,"AAAAAFzdrxA=")</f>
        <v>#VALUE!</v>
      </c>
      <c r="R46" t="e">
        <f>AND(Birds!GL11,"AAAAAFzdrxE=")</f>
        <v>#VALUE!</v>
      </c>
      <c r="S46" t="e">
        <f>AND(Birds!GM11,"AAAAAFzdrxI=")</f>
        <v>#VALUE!</v>
      </c>
      <c r="T46">
        <f>IF(Birds!12:12,"AAAAAFzdrxM=",0)</f>
        <v>0</v>
      </c>
      <c r="U46" t="e">
        <f>AND(Birds!A12,"AAAAAFzdrxQ=")</f>
        <v>#VALUE!</v>
      </c>
      <c r="V46" t="e">
        <f>AND(Birds!B12,"AAAAAFzdrxU=")</f>
        <v>#VALUE!</v>
      </c>
      <c r="W46" t="e">
        <f>AND(Birds!C12,"AAAAAFzdrxY=")</f>
        <v>#VALUE!</v>
      </c>
      <c r="X46" t="e">
        <f>AND(Birds!D12,"AAAAAFzdrxc=")</f>
        <v>#VALUE!</v>
      </c>
      <c r="Y46" t="e">
        <f>AND(Birds!E12,"AAAAAFzdrxg=")</f>
        <v>#VALUE!</v>
      </c>
      <c r="Z46" t="e">
        <f>AND(Birds!F12,"AAAAAFzdrxk=")</f>
        <v>#VALUE!</v>
      </c>
      <c r="AA46" t="e">
        <f>AND(Birds!G12,"AAAAAFzdrxo=")</f>
        <v>#VALUE!</v>
      </c>
      <c r="AB46" t="e">
        <f>AND(Birds!H12,"AAAAAFzdrxs=")</f>
        <v>#VALUE!</v>
      </c>
      <c r="AC46" t="e">
        <f>AND(Birds!I12,"AAAAAFzdrxw=")</f>
        <v>#VALUE!</v>
      </c>
      <c r="AD46" t="e">
        <f>AND(Birds!J12,"AAAAAFzdrx0=")</f>
        <v>#VALUE!</v>
      </c>
      <c r="AE46" t="e">
        <f>AND(Birds!K12,"AAAAAFzdrx4=")</f>
        <v>#VALUE!</v>
      </c>
      <c r="AF46" t="e">
        <f>AND(Birds!L12,"AAAAAFzdrx8=")</f>
        <v>#VALUE!</v>
      </c>
      <c r="AG46" t="e">
        <f>AND(Birds!M12,"AAAAAFzdryA=")</f>
        <v>#VALUE!</v>
      </c>
      <c r="AH46" t="e">
        <f>AND(Birds!N12,"AAAAAFzdryE=")</f>
        <v>#VALUE!</v>
      </c>
      <c r="AI46" t="e">
        <f>AND(Birds!O12,"AAAAAFzdryI=")</f>
        <v>#VALUE!</v>
      </c>
      <c r="AJ46" t="e">
        <f>AND(Birds!P12,"AAAAAFzdryM=")</f>
        <v>#VALUE!</v>
      </c>
      <c r="AK46" t="e">
        <f>AND(Birds!Q12,"AAAAAFzdryQ=")</f>
        <v>#VALUE!</v>
      </c>
      <c r="AL46" t="e">
        <f>AND(Birds!R12,"AAAAAFzdryU=")</f>
        <v>#VALUE!</v>
      </c>
      <c r="AM46" t="e">
        <f>AND(Birds!S12,"AAAAAFzdryY=")</f>
        <v>#VALUE!</v>
      </c>
      <c r="AN46" t="e">
        <f>AND(Birds!T12,"AAAAAFzdryc=")</f>
        <v>#VALUE!</v>
      </c>
      <c r="AO46" t="e">
        <f>AND(Birds!U12,"AAAAAFzdryg=")</f>
        <v>#VALUE!</v>
      </c>
      <c r="AP46" t="e">
        <f>AND(Birds!V12,"AAAAAFzdryk=")</f>
        <v>#VALUE!</v>
      </c>
      <c r="AQ46" t="e">
        <f>AND(Birds!W12,"AAAAAFzdryo=")</f>
        <v>#VALUE!</v>
      </c>
      <c r="AR46" t="e">
        <f>AND(Birds!X12,"AAAAAFzdrys=")</f>
        <v>#VALUE!</v>
      </c>
      <c r="AS46" t="e">
        <f>AND(Birds!Y12,"AAAAAFzdryw=")</f>
        <v>#VALUE!</v>
      </c>
      <c r="AT46" t="e">
        <f>AND(Birds!Z12,"AAAAAFzdry0=")</f>
        <v>#VALUE!</v>
      </c>
      <c r="AU46" t="e">
        <f>AND(Birds!AA12,"AAAAAFzdry4=")</f>
        <v>#VALUE!</v>
      </c>
      <c r="AV46" t="e">
        <f>AND(Birds!AB12,"AAAAAFzdry8=")</f>
        <v>#VALUE!</v>
      </c>
      <c r="AW46" t="e">
        <f>AND(Birds!AC12,"AAAAAFzdrzA=")</f>
        <v>#VALUE!</v>
      </c>
      <c r="AX46" t="e">
        <f>AND(Birds!AD12,"AAAAAFzdrzE=")</f>
        <v>#VALUE!</v>
      </c>
      <c r="AY46" t="e">
        <f>AND(Birds!AE12,"AAAAAFzdrzI=")</f>
        <v>#VALUE!</v>
      </c>
      <c r="AZ46" t="e">
        <f>AND(Birds!AF12,"AAAAAFzdrzM=")</f>
        <v>#VALUE!</v>
      </c>
      <c r="BA46" t="e">
        <f>AND(Birds!AG12,"AAAAAFzdrzQ=")</f>
        <v>#VALUE!</v>
      </c>
      <c r="BB46" t="e">
        <f>AND(Birds!AH12,"AAAAAFzdrzU=")</f>
        <v>#VALUE!</v>
      </c>
      <c r="BC46" t="e">
        <f>AND(Birds!AI12,"AAAAAFzdrzY=")</f>
        <v>#VALUE!</v>
      </c>
      <c r="BD46" t="e">
        <f>AND(Birds!AJ12,"AAAAAFzdrzc=")</f>
        <v>#VALUE!</v>
      </c>
      <c r="BE46" t="e">
        <f>AND(Birds!AK12,"AAAAAFzdrzg=")</f>
        <v>#VALUE!</v>
      </c>
      <c r="BF46" t="e">
        <f>AND(Birds!AL12,"AAAAAFzdrzk=")</f>
        <v>#VALUE!</v>
      </c>
      <c r="BG46" t="e">
        <f>AND(Birds!AM12,"AAAAAFzdrzo=")</f>
        <v>#VALUE!</v>
      </c>
      <c r="BH46" t="e">
        <f>AND(Birds!AN12,"AAAAAFzdrzs=")</f>
        <v>#VALUE!</v>
      </c>
      <c r="BI46" t="e">
        <f>AND(Birds!AO12,"AAAAAFzdrzw=")</f>
        <v>#VALUE!</v>
      </c>
      <c r="BJ46" t="e">
        <f>AND(Birds!AP12,"AAAAAFzdrz0=")</f>
        <v>#VALUE!</v>
      </c>
      <c r="BK46" t="e">
        <f>AND(Birds!AQ12,"AAAAAFzdrz4=")</f>
        <v>#VALUE!</v>
      </c>
      <c r="BL46" t="e">
        <f>AND(Birds!AR12,"AAAAAFzdrz8=")</f>
        <v>#VALUE!</v>
      </c>
      <c r="BM46" t="e">
        <f>AND(Birds!AS12,"AAAAAFzdr0A=")</f>
        <v>#VALUE!</v>
      </c>
      <c r="BN46" t="e">
        <f>AND(Birds!AT12,"AAAAAFzdr0E=")</f>
        <v>#VALUE!</v>
      </c>
      <c r="BO46" t="e">
        <f>AND(Birds!AU12,"AAAAAFzdr0I=")</f>
        <v>#VALUE!</v>
      </c>
      <c r="BP46" t="e">
        <f>AND(Birds!AV12,"AAAAAFzdr0M=")</f>
        <v>#VALUE!</v>
      </c>
      <c r="BQ46" t="e">
        <f>AND(Birds!AW12,"AAAAAFzdr0Q=")</f>
        <v>#VALUE!</v>
      </c>
      <c r="BR46" t="e">
        <f>AND(Birds!AX12,"AAAAAFzdr0U=")</f>
        <v>#VALUE!</v>
      </c>
      <c r="BS46" t="e">
        <f>AND(Birds!AY12,"AAAAAFzdr0Y=")</f>
        <v>#VALUE!</v>
      </c>
      <c r="BT46" t="e">
        <f>AND(Birds!AZ12,"AAAAAFzdr0c=")</f>
        <v>#VALUE!</v>
      </c>
      <c r="BU46" t="e">
        <f>AND(Birds!BA12,"AAAAAFzdr0g=")</f>
        <v>#VALUE!</v>
      </c>
      <c r="BV46" t="e">
        <f>AND(Birds!BB12,"AAAAAFzdr0k=")</f>
        <v>#VALUE!</v>
      </c>
      <c r="BW46" t="e">
        <f>AND(Birds!BC12,"AAAAAFzdr0o=")</f>
        <v>#VALUE!</v>
      </c>
      <c r="BX46" t="e">
        <f>AND(Birds!BD12,"AAAAAFzdr0s=")</f>
        <v>#VALUE!</v>
      </c>
      <c r="BY46" t="e">
        <f>AND(Birds!BE12,"AAAAAFzdr0w=")</f>
        <v>#VALUE!</v>
      </c>
      <c r="BZ46" t="e">
        <f>AND(Birds!BF12,"AAAAAFzdr00=")</f>
        <v>#VALUE!</v>
      </c>
      <c r="CA46" t="e">
        <f>AND(Birds!BG12,"AAAAAFzdr04=")</f>
        <v>#VALUE!</v>
      </c>
      <c r="CB46" t="e">
        <f>AND(Birds!BH12,"AAAAAFzdr08=")</f>
        <v>#VALUE!</v>
      </c>
      <c r="CC46" t="e">
        <f>AND(Birds!BI12,"AAAAAFzdr1A=")</f>
        <v>#VALUE!</v>
      </c>
      <c r="CD46" t="e">
        <f>AND(Birds!BJ12,"AAAAAFzdr1E=")</f>
        <v>#VALUE!</v>
      </c>
      <c r="CE46" t="e">
        <f>AND(Birds!BK12,"AAAAAFzdr1I=")</f>
        <v>#VALUE!</v>
      </c>
      <c r="CF46" t="e">
        <f>AND(Birds!BL12,"AAAAAFzdr1M=")</f>
        <v>#VALUE!</v>
      </c>
      <c r="CG46" t="e">
        <f>AND(Birds!BM12,"AAAAAFzdr1Q=")</f>
        <v>#VALUE!</v>
      </c>
      <c r="CH46" t="e">
        <f>AND(Birds!BN12,"AAAAAFzdr1U=")</f>
        <v>#VALUE!</v>
      </c>
      <c r="CI46" t="e">
        <f>AND(Birds!BO12,"AAAAAFzdr1Y=")</f>
        <v>#VALUE!</v>
      </c>
      <c r="CJ46" t="e">
        <f>AND(Birds!BP12,"AAAAAFzdr1c=")</f>
        <v>#VALUE!</v>
      </c>
      <c r="CK46" t="e">
        <f>AND(Birds!BQ12,"AAAAAFzdr1g=")</f>
        <v>#VALUE!</v>
      </c>
      <c r="CL46" t="e">
        <f>AND(Birds!BR12,"AAAAAFzdr1k=")</f>
        <v>#VALUE!</v>
      </c>
      <c r="CM46" t="e">
        <f>AND(Birds!BS12,"AAAAAFzdr1o=")</f>
        <v>#VALUE!</v>
      </c>
      <c r="CN46" t="e">
        <f>AND(Birds!BT12,"AAAAAFzdr1s=")</f>
        <v>#VALUE!</v>
      </c>
      <c r="CO46" t="e">
        <f>AND(Birds!BU12,"AAAAAFzdr1w=")</f>
        <v>#VALUE!</v>
      </c>
      <c r="CP46" t="e">
        <f>AND(Birds!BV12,"AAAAAFzdr10=")</f>
        <v>#VALUE!</v>
      </c>
      <c r="CQ46" t="e">
        <f>AND(Birds!BW12,"AAAAAFzdr14=")</f>
        <v>#VALUE!</v>
      </c>
      <c r="CR46" t="e">
        <f>AND(Birds!BX12,"AAAAAFzdr18=")</f>
        <v>#VALUE!</v>
      </c>
      <c r="CS46" t="e">
        <f>AND(Birds!BY12,"AAAAAFzdr2A=")</f>
        <v>#VALUE!</v>
      </c>
      <c r="CT46" t="e">
        <f>AND(Birds!BZ12,"AAAAAFzdr2E=")</f>
        <v>#VALUE!</v>
      </c>
      <c r="CU46" t="e">
        <f>AND(Birds!CA12,"AAAAAFzdr2I=")</f>
        <v>#VALUE!</v>
      </c>
      <c r="CV46" t="e">
        <f>AND(Birds!CB12,"AAAAAFzdr2M=")</f>
        <v>#VALUE!</v>
      </c>
      <c r="CW46" t="e">
        <f>AND(Birds!CC12,"AAAAAFzdr2Q=")</f>
        <v>#VALUE!</v>
      </c>
      <c r="CX46" t="e">
        <f>AND(Birds!CD12,"AAAAAFzdr2U=")</f>
        <v>#VALUE!</v>
      </c>
      <c r="CY46" t="e">
        <f>AND(Birds!CE12,"AAAAAFzdr2Y=")</f>
        <v>#VALUE!</v>
      </c>
      <c r="CZ46" t="e">
        <f>AND(Birds!CF12,"AAAAAFzdr2c=")</f>
        <v>#VALUE!</v>
      </c>
      <c r="DA46" t="e">
        <f>AND(Birds!CG12,"AAAAAFzdr2g=")</f>
        <v>#VALUE!</v>
      </c>
      <c r="DB46" t="e">
        <f>AND(Birds!CH12,"AAAAAFzdr2k=")</f>
        <v>#VALUE!</v>
      </c>
      <c r="DC46" t="e">
        <f>AND(Birds!CI12,"AAAAAFzdr2o=")</f>
        <v>#VALUE!</v>
      </c>
      <c r="DD46" t="e">
        <f>AND(Birds!CJ12,"AAAAAFzdr2s=")</f>
        <v>#VALUE!</v>
      </c>
      <c r="DE46" t="e">
        <f>AND(Birds!CK12,"AAAAAFzdr2w=")</f>
        <v>#VALUE!</v>
      </c>
      <c r="DF46" t="e">
        <f>AND(Birds!CL12,"AAAAAFzdr20=")</f>
        <v>#VALUE!</v>
      </c>
      <c r="DG46" t="e">
        <f>AND(Birds!CM12,"AAAAAFzdr24=")</f>
        <v>#VALUE!</v>
      </c>
      <c r="DH46" t="e">
        <f>AND(Birds!CN12,"AAAAAFzdr28=")</f>
        <v>#VALUE!</v>
      </c>
      <c r="DI46" t="e">
        <f>AND(Birds!CO12,"AAAAAFzdr3A=")</f>
        <v>#VALUE!</v>
      </c>
      <c r="DJ46" t="e">
        <f>AND(Birds!CP12,"AAAAAFzdr3E=")</f>
        <v>#VALUE!</v>
      </c>
      <c r="DK46" t="e">
        <f>AND(Birds!CQ12,"AAAAAFzdr3I=")</f>
        <v>#VALUE!</v>
      </c>
      <c r="DL46" t="e">
        <f>AND(Birds!CR12,"AAAAAFzdr3M=")</f>
        <v>#VALUE!</v>
      </c>
      <c r="DM46" t="e">
        <f>AND(Birds!CS12,"AAAAAFzdr3Q=")</f>
        <v>#VALUE!</v>
      </c>
      <c r="DN46" t="e">
        <f>AND(Birds!CT12,"AAAAAFzdr3U=")</f>
        <v>#VALUE!</v>
      </c>
      <c r="DO46" t="e">
        <f>AND(Birds!CU12,"AAAAAFzdr3Y=")</f>
        <v>#VALUE!</v>
      </c>
      <c r="DP46" t="e">
        <f>AND(Birds!CV12,"AAAAAFzdr3c=")</f>
        <v>#VALUE!</v>
      </c>
      <c r="DQ46" t="e">
        <f>AND(Birds!CW12,"AAAAAFzdr3g=")</f>
        <v>#VALUE!</v>
      </c>
      <c r="DR46" t="e">
        <f>AND(Birds!CX12,"AAAAAFzdr3k=")</f>
        <v>#VALUE!</v>
      </c>
      <c r="DS46" t="e">
        <f>AND(Birds!CY12,"AAAAAFzdr3o=")</f>
        <v>#VALUE!</v>
      </c>
      <c r="DT46" t="e">
        <f>AND(Birds!CZ12,"AAAAAFzdr3s=")</f>
        <v>#VALUE!</v>
      </c>
      <c r="DU46" t="e">
        <f>AND(Birds!DA12,"AAAAAFzdr3w=")</f>
        <v>#VALUE!</v>
      </c>
      <c r="DV46" t="e">
        <f>AND(Birds!DB12,"AAAAAFzdr30=")</f>
        <v>#VALUE!</v>
      </c>
      <c r="DW46" t="e">
        <f>AND(Birds!DC12,"AAAAAFzdr34=")</f>
        <v>#VALUE!</v>
      </c>
      <c r="DX46" t="e">
        <f>AND(Birds!DD12,"AAAAAFzdr38=")</f>
        <v>#VALUE!</v>
      </c>
      <c r="DY46" t="e">
        <f>AND(Birds!DE12,"AAAAAFzdr4A=")</f>
        <v>#VALUE!</v>
      </c>
      <c r="DZ46" t="e">
        <f>AND(Birds!DF12,"AAAAAFzdr4E=")</f>
        <v>#VALUE!</v>
      </c>
      <c r="EA46" t="e">
        <f>AND(Birds!DG12,"AAAAAFzdr4I=")</f>
        <v>#VALUE!</v>
      </c>
      <c r="EB46" t="e">
        <f>AND(Birds!DH12,"AAAAAFzdr4M=")</f>
        <v>#VALUE!</v>
      </c>
      <c r="EC46" t="e">
        <f>AND(Birds!DI12,"AAAAAFzdr4Q=")</f>
        <v>#VALUE!</v>
      </c>
      <c r="ED46" t="e">
        <f>AND(Birds!DJ12,"AAAAAFzdr4U=")</f>
        <v>#VALUE!</v>
      </c>
      <c r="EE46" t="e">
        <f>AND(Birds!DK12,"AAAAAFzdr4Y=")</f>
        <v>#VALUE!</v>
      </c>
      <c r="EF46" t="e">
        <f>AND(Birds!DL12,"AAAAAFzdr4c=")</f>
        <v>#VALUE!</v>
      </c>
      <c r="EG46" t="e">
        <f>AND(Birds!DM12,"AAAAAFzdr4g=")</f>
        <v>#VALUE!</v>
      </c>
      <c r="EH46" t="e">
        <f>AND(Birds!DN12,"AAAAAFzdr4k=")</f>
        <v>#VALUE!</v>
      </c>
      <c r="EI46" t="e">
        <f>AND(Birds!DO12,"AAAAAFzdr4o=")</f>
        <v>#VALUE!</v>
      </c>
      <c r="EJ46" t="e">
        <f>AND(Birds!DP12,"AAAAAFzdr4s=")</f>
        <v>#VALUE!</v>
      </c>
      <c r="EK46" t="e">
        <f>AND(Birds!DQ12,"AAAAAFzdr4w=")</f>
        <v>#VALUE!</v>
      </c>
      <c r="EL46" t="e">
        <f>AND(Birds!DR12,"AAAAAFzdr40=")</f>
        <v>#VALUE!</v>
      </c>
      <c r="EM46" t="e">
        <f>AND(Birds!DS12,"AAAAAFzdr44=")</f>
        <v>#VALUE!</v>
      </c>
      <c r="EN46" t="e">
        <f>AND(Birds!DT12,"AAAAAFzdr48=")</f>
        <v>#VALUE!</v>
      </c>
      <c r="EO46" t="e">
        <f>AND(Birds!DU12,"AAAAAFzdr5A=")</f>
        <v>#VALUE!</v>
      </c>
      <c r="EP46" t="e">
        <f>AND(Birds!DV12,"AAAAAFzdr5E=")</f>
        <v>#VALUE!</v>
      </c>
      <c r="EQ46" t="e">
        <f>AND(Birds!DW12,"AAAAAFzdr5I=")</f>
        <v>#VALUE!</v>
      </c>
      <c r="ER46" t="e">
        <f>AND(Birds!DX12,"AAAAAFzdr5M=")</f>
        <v>#VALUE!</v>
      </c>
      <c r="ES46" t="e">
        <f>AND(Birds!DY12,"AAAAAFzdr5Q=")</f>
        <v>#VALUE!</v>
      </c>
      <c r="ET46" t="e">
        <f>AND(Birds!DZ12,"AAAAAFzdr5U=")</f>
        <v>#VALUE!</v>
      </c>
      <c r="EU46" t="e">
        <f>AND(Birds!EA12,"AAAAAFzdr5Y=")</f>
        <v>#VALUE!</v>
      </c>
      <c r="EV46" t="e">
        <f>AND(Birds!EB12,"AAAAAFzdr5c=")</f>
        <v>#VALUE!</v>
      </c>
      <c r="EW46" t="e">
        <f>AND(Birds!EC12,"AAAAAFzdr5g=")</f>
        <v>#VALUE!</v>
      </c>
      <c r="EX46" t="e">
        <f>AND(Birds!ED12,"AAAAAFzdr5k=")</f>
        <v>#VALUE!</v>
      </c>
      <c r="EY46" t="e">
        <f>AND(Birds!EE12,"AAAAAFzdr5o=")</f>
        <v>#VALUE!</v>
      </c>
      <c r="EZ46" t="e">
        <f>AND(Birds!EF12,"AAAAAFzdr5s=")</f>
        <v>#VALUE!</v>
      </c>
      <c r="FA46" t="e">
        <f>AND(Birds!EG12,"AAAAAFzdr5w=")</f>
        <v>#VALUE!</v>
      </c>
      <c r="FB46" t="e">
        <f>AND(Birds!EH12,"AAAAAFzdr50=")</f>
        <v>#VALUE!</v>
      </c>
      <c r="FC46" t="e">
        <f>AND(Birds!EI12,"AAAAAFzdr54=")</f>
        <v>#VALUE!</v>
      </c>
      <c r="FD46" t="e">
        <f>AND(Birds!EJ12,"AAAAAFzdr58=")</f>
        <v>#VALUE!</v>
      </c>
      <c r="FE46" t="e">
        <f>AND(Birds!EK12,"AAAAAFzdr6A=")</f>
        <v>#VALUE!</v>
      </c>
      <c r="FF46" t="e">
        <f>AND(Birds!EL12,"AAAAAFzdr6E=")</f>
        <v>#VALUE!</v>
      </c>
      <c r="FG46" t="e">
        <f>AND(Birds!EM12,"AAAAAFzdr6I=")</f>
        <v>#VALUE!</v>
      </c>
      <c r="FH46" t="e">
        <f>AND(Birds!EN12,"AAAAAFzdr6M=")</f>
        <v>#VALUE!</v>
      </c>
      <c r="FI46" t="e">
        <f>AND(Birds!EO12,"AAAAAFzdr6Q=")</f>
        <v>#VALUE!</v>
      </c>
      <c r="FJ46" t="e">
        <f>AND(Birds!EP12,"AAAAAFzdr6U=")</f>
        <v>#VALUE!</v>
      </c>
      <c r="FK46" t="e">
        <f>AND(Birds!EQ12,"AAAAAFzdr6Y=")</f>
        <v>#VALUE!</v>
      </c>
      <c r="FL46" t="e">
        <f>AND(Birds!ER12,"AAAAAFzdr6c=")</f>
        <v>#VALUE!</v>
      </c>
      <c r="FM46" t="e">
        <f>AND(Birds!ES12,"AAAAAFzdr6g=")</f>
        <v>#VALUE!</v>
      </c>
      <c r="FN46" t="e">
        <f>AND(Birds!ET12,"AAAAAFzdr6k=")</f>
        <v>#VALUE!</v>
      </c>
      <c r="FO46" t="e">
        <f>AND(Birds!EU12,"AAAAAFzdr6o=")</f>
        <v>#VALUE!</v>
      </c>
      <c r="FP46" t="e">
        <f>AND(Birds!EV12,"AAAAAFzdr6s=")</f>
        <v>#VALUE!</v>
      </c>
      <c r="FQ46" t="e">
        <f>AND(Birds!EW12,"AAAAAFzdr6w=")</f>
        <v>#VALUE!</v>
      </c>
      <c r="FR46" t="e">
        <f>AND(Birds!EX12,"AAAAAFzdr60=")</f>
        <v>#VALUE!</v>
      </c>
      <c r="FS46" t="e">
        <f>AND(Birds!EY12,"AAAAAFzdr64=")</f>
        <v>#VALUE!</v>
      </c>
      <c r="FT46" t="e">
        <f>AND(Birds!EZ12,"AAAAAFzdr68=")</f>
        <v>#VALUE!</v>
      </c>
      <c r="FU46" t="e">
        <f>AND(Birds!FA12,"AAAAAFzdr7A=")</f>
        <v>#VALUE!</v>
      </c>
      <c r="FV46" t="e">
        <f>AND(Birds!FB12,"AAAAAFzdr7E=")</f>
        <v>#VALUE!</v>
      </c>
      <c r="FW46" t="e">
        <f>AND(Birds!FC12,"AAAAAFzdr7I=")</f>
        <v>#VALUE!</v>
      </c>
      <c r="FX46" t="e">
        <f>AND(Birds!FD12,"AAAAAFzdr7M=")</f>
        <v>#VALUE!</v>
      </c>
      <c r="FY46" t="e">
        <f>AND(Birds!FE12,"AAAAAFzdr7Q=")</f>
        <v>#VALUE!</v>
      </c>
      <c r="FZ46" t="e">
        <f>AND(Birds!FF12,"AAAAAFzdr7U=")</f>
        <v>#VALUE!</v>
      </c>
      <c r="GA46" t="e">
        <f>AND(Birds!FG12,"AAAAAFzdr7Y=")</f>
        <v>#VALUE!</v>
      </c>
      <c r="GB46" t="e">
        <f>AND(Birds!FH12,"AAAAAFzdr7c=")</f>
        <v>#VALUE!</v>
      </c>
      <c r="GC46" t="e">
        <f>AND(Birds!FI12,"AAAAAFzdr7g=")</f>
        <v>#VALUE!</v>
      </c>
      <c r="GD46" t="e">
        <f>AND(Birds!FJ12,"AAAAAFzdr7k=")</f>
        <v>#VALUE!</v>
      </c>
      <c r="GE46" t="e">
        <f>AND(Birds!FK12,"AAAAAFzdr7o=")</f>
        <v>#VALUE!</v>
      </c>
      <c r="GF46" t="e">
        <f>AND(Birds!FL12,"AAAAAFzdr7s=")</f>
        <v>#VALUE!</v>
      </c>
      <c r="GG46" t="e">
        <f>AND(Birds!FM12,"AAAAAFzdr7w=")</f>
        <v>#VALUE!</v>
      </c>
      <c r="GH46" t="e">
        <f>AND(Birds!FN12,"AAAAAFzdr70=")</f>
        <v>#VALUE!</v>
      </c>
      <c r="GI46" t="e">
        <f>AND(Birds!FO12,"AAAAAFzdr74=")</f>
        <v>#VALUE!</v>
      </c>
      <c r="GJ46" t="e">
        <f>AND(Birds!FP12,"AAAAAFzdr78=")</f>
        <v>#VALUE!</v>
      </c>
      <c r="GK46" t="e">
        <f>AND(Birds!FQ12,"AAAAAFzdr8A=")</f>
        <v>#VALUE!</v>
      </c>
      <c r="GL46" t="e">
        <f>AND(Birds!FR12,"AAAAAFzdr8E=")</f>
        <v>#VALUE!</v>
      </c>
      <c r="GM46" t="e">
        <f>AND(Birds!FS12,"AAAAAFzdr8I=")</f>
        <v>#VALUE!</v>
      </c>
      <c r="GN46" t="e">
        <f>AND(Birds!FT12,"AAAAAFzdr8M=")</f>
        <v>#VALUE!</v>
      </c>
      <c r="GO46" t="e">
        <f>AND(Birds!FU12,"AAAAAFzdr8Q=")</f>
        <v>#VALUE!</v>
      </c>
      <c r="GP46" t="e">
        <f>AND(Birds!FV12,"AAAAAFzdr8U=")</f>
        <v>#VALUE!</v>
      </c>
      <c r="GQ46" t="e">
        <f>AND(Birds!FW12,"AAAAAFzdr8Y=")</f>
        <v>#VALUE!</v>
      </c>
      <c r="GR46" t="e">
        <f>AND(Birds!FX12,"AAAAAFzdr8c=")</f>
        <v>#VALUE!</v>
      </c>
      <c r="GS46" t="e">
        <f>AND(Birds!FY12,"AAAAAFzdr8g=")</f>
        <v>#VALUE!</v>
      </c>
      <c r="GT46" t="e">
        <f>AND(Birds!FZ12,"AAAAAFzdr8k=")</f>
        <v>#VALUE!</v>
      </c>
      <c r="GU46" t="e">
        <f>AND(Birds!GA12,"AAAAAFzdr8o=")</f>
        <v>#VALUE!</v>
      </c>
      <c r="GV46" t="e">
        <f>AND(Birds!GB12,"AAAAAFzdr8s=")</f>
        <v>#VALUE!</v>
      </c>
      <c r="GW46" t="e">
        <f>AND(Birds!GC12,"AAAAAFzdr8w=")</f>
        <v>#VALUE!</v>
      </c>
      <c r="GX46" t="e">
        <f>AND(Birds!GD12,"AAAAAFzdr80=")</f>
        <v>#VALUE!</v>
      </c>
      <c r="GY46" t="e">
        <f>AND(Birds!GE12,"AAAAAFzdr84=")</f>
        <v>#VALUE!</v>
      </c>
      <c r="GZ46" t="e">
        <f>AND(Birds!GF12,"AAAAAFzdr88=")</f>
        <v>#VALUE!</v>
      </c>
      <c r="HA46" t="e">
        <f>AND(Birds!GG12,"AAAAAFzdr9A=")</f>
        <v>#VALUE!</v>
      </c>
      <c r="HB46" t="e">
        <f>AND(Birds!GH12,"AAAAAFzdr9E=")</f>
        <v>#VALUE!</v>
      </c>
      <c r="HC46" t="e">
        <f>AND(Birds!GI12,"AAAAAFzdr9I=")</f>
        <v>#VALUE!</v>
      </c>
      <c r="HD46" t="e">
        <f>AND(Birds!GJ12,"AAAAAFzdr9M=")</f>
        <v>#VALUE!</v>
      </c>
      <c r="HE46" t="e">
        <f>AND(Birds!GK12,"AAAAAFzdr9Q=")</f>
        <v>#VALUE!</v>
      </c>
      <c r="HF46" t="e">
        <f>AND(Birds!GL12,"AAAAAFzdr9U=")</f>
        <v>#VALUE!</v>
      </c>
      <c r="HG46" t="e">
        <f>AND(Birds!GM12,"AAAAAFzdr9Y=")</f>
        <v>#VALUE!</v>
      </c>
      <c r="HH46">
        <f>IF(Birds!13:13,"AAAAAFzdr9c=",0)</f>
        <v>0</v>
      </c>
      <c r="HI46" t="e">
        <f>AND(Birds!A13,"AAAAAFzdr9g=")</f>
        <v>#VALUE!</v>
      </c>
      <c r="HJ46" t="e">
        <f>AND(Birds!B13,"AAAAAFzdr9k=")</f>
        <v>#VALUE!</v>
      </c>
      <c r="HK46" t="e">
        <f>AND(Birds!C13,"AAAAAFzdr9o=")</f>
        <v>#VALUE!</v>
      </c>
      <c r="HL46" t="e">
        <f>AND(Birds!D13,"AAAAAFzdr9s=")</f>
        <v>#VALUE!</v>
      </c>
      <c r="HM46" t="e">
        <f>AND(Birds!E13,"AAAAAFzdr9w=")</f>
        <v>#VALUE!</v>
      </c>
      <c r="HN46" t="e">
        <f>AND(Birds!F13,"AAAAAFzdr90=")</f>
        <v>#VALUE!</v>
      </c>
      <c r="HO46" t="e">
        <f>AND(Birds!G13,"AAAAAFzdr94=")</f>
        <v>#VALUE!</v>
      </c>
      <c r="HP46" t="e">
        <f>AND(Birds!H13,"AAAAAFzdr98=")</f>
        <v>#VALUE!</v>
      </c>
      <c r="HQ46" t="e">
        <f>AND(Birds!I13,"AAAAAFzdr+A=")</f>
        <v>#VALUE!</v>
      </c>
      <c r="HR46" t="e">
        <f>AND(Birds!J13,"AAAAAFzdr+E=")</f>
        <v>#VALUE!</v>
      </c>
      <c r="HS46" t="e">
        <f>AND(Birds!K13,"AAAAAFzdr+I=")</f>
        <v>#VALUE!</v>
      </c>
      <c r="HT46" t="e">
        <f>AND(Birds!L13,"AAAAAFzdr+M=")</f>
        <v>#VALUE!</v>
      </c>
      <c r="HU46" t="e">
        <f>AND(Birds!M13,"AAAAAFzdr+Q=")</f>
        <v>#VALUE!</v>
      </c>
      <c r="HV46" t="e">
        <f>AND(Birds!N13,"AAAAAFzdr+U=")</f>
        <v>#VALUE!</v>
      </c>
      <c r="HW46" t="e">
        <f>AND(Birds!O13,"AAAAAFzdr+Y=")</f>
        <v>#VALUE!</v>
      </c>
      <c r="HX46" t="e">
        <f>AND(Birds!P13,"AAAAAFzdr+c=")</f>
        <v>#VALUE!</v>
      </c>
      <c r="HY46" t="e">
        <f>AND(Birds!Q13,"AAAAAFzdr+g=")</f>
        <v>#VALUE!</v>
      </c>
      <c r="HZ46" t="e">
        <f>AND(Birds!R13,"AAAAAFzdr+k=")</f>
        <v>#VALUE!</v>
      </c>
      <c r="IA46" t="e">
        <f>AND(Birds!S13,"AAAAAFzdr+o=")</f>
        <v>#VALUE!</v>
      </c>
      <c r="IB46" t="e">
        <f>AND(Birds!T13,"AAAAAFzdr+s=")</f>
        <v>#VALUE!</v>
      </c>
      <c r="IC46" t="e">
        <f>AND(Birds!U13,"AAAAAFzdr+w=")</f>
        <v>#VALUE!</v>
      </c>
      <c r="ID46" t="e">
        <f>AND(Birds!V13,"AAAAAFzdr+0=")</f>
        <v>#VALUE!</v>
      </c>
      <c r="IE46" t="e">
        <f>AND(Birds!W13,"AAAAAFzdr+4=")</f>
        <v>#VALUE!</v>
      </c>
      <c r="IF46" t="e">
        <f>AND(Birds!X13,"AAAAAFzdr+8=")</f>
        <v>#VALUE!</v>
      </c>
      <c r="IG46" t="e">
        <f>AND(Birds!Y13,"AAAAAFzdr/A=")</f>
        <v>#VALUE!</v>
      </c>
      <c r="IH46" t="e">
        <f>AND(Birds!Z13,"AAAAAFzdr/E=")</f>
        <v>#VALUE!</v>
      </c>
      <c r="II46" t="e">
        <f>AND(Birds!AA13,"AAAAAFzdr/I=")</f>
        <v>#VALUE!</v>
      </c>
      <c r="IJ46" t="e">
        <f>AND(Birds!AB13,"AAAAAFzdr/M=")</f>
        <v>#VALUE!</v>
      </c>
      <c r="IK46" t="e">
        <f>AND(Birds!AC13,"AAAAAFzdr/Q=")</f>
        <v>#VALUE!</v>
      </c>
      <c r="IL46" t="e">
        <f>AND(Birds!AD13,"AAAAAFzdr/U=")</f>
        <v>#VALUE!</v>
      </c>
      <c r="IM46" t="e">
        <f>AND(Birds!AE13,"AAAAAFzdr/Y=")</f>
        <v>#VALUE!</v>
      </c>
      <c r="IN46" t="e">
        <f>AND(Birds!AF13,"AAAAAFzdr/c=")</f>
        <v>#VALUE!</v>
      </c>
      <c r="IO46" t="e">
        <f>AND(Birds!AG13,"AAAAAFzdr/g=")</f>
        <v>#VALUE!</v>
      </c>
      <c r="IP46" t="e">
        <f>AND(Birds!AH13,"AAAAAFzdr/k=")</f>
        <v>#VALUE!</v>
      </c>
      <c r="IQ46" t="e">
        <f>AND(Birds!AI13,"AAAAAFzdr/o=")</f>
        <v>#VALUE!</v>
      </c>
      <c r="IR46" t="e">
        <f>AND(Birds!AJ13,"AAAAAFzdr/s=")</f>
        <v>#VALUE!</v>
      </c>
      <c r="IS46" t="e">
        <f>AND(Birds!AK13,"AAAAAFzdr/w=")</f>
        <v>#VALUE!</v>
      </c>
      <c r="IT46" t="e">
        <f>AND(Birds!AL13,"AAAAAFzdr/0=")</f>
        <v>#VALUE!</v>
      </c>
      <c r="IU46" t="e">
        <f>AND(Birds!AM13,"AAAAAFzdr/4=")</f>
        <v>#VALUE!</v>
      </c>
      <c r="IV46" t="e">
        <f>AND(Birds!AN13,"AAAAAFzdr/8=")</f>
        <v>#VALUE!</v>
      </c>
    </row>
    <row r="47" spans="1:256">
      <c r="A47" t="e">
        <f>AND(Birds!AO13,"AAAAAD2t/gA=")</f>
        <v>#VALUE!</v>
      </c>
      <c r="B47" t="e">
        <f>AND(Birds!AP13,"AAAAAD2t/gE=")</f>
        <v>#VALUE!</v>
      </c>
      <c r="C47" t="e">
        <f>AND(Birds!AQ13,"AAAAAD2t/gI=")</f>
        <v>#VALUE!</v>
      </c>
      <c r="D47" t="e">
        <f>AND(Birds!AR13,"AAAAAD2t/gM=")</f>
        <v>#VALUE!</v>
      </c>
      <c r="E47" t="e">
        <f>AND(Birds!AS13,"AAAAAD2t/gQ=")</f>
        <v>#VALUE!</v>
      </c>
      <c r="F47" t="e">
        <f>AND(Birds!AT13,"AAAAAD2t/gU=")</f>
        <v>#VALUE!</v>
      </c>
      <c r="G47" t="e">
        <f>AND(Birds!AU13,"AAAAAD2t/gY=")</f>
        <v>#VALUE!</v>
      </c>
      <c r="H47" t="e">
        <f>AND(Birds!AV13,"AAAAAD2t/gc=")</f>
        <v>#VALUE!</v>
      </c>
      <c r="I47" t="e">
        <f>AND(Birds!AW13,"AAAAAD2t/gg=")</f>
        <v>#VALUE!</v>
      </c>
      <c r="J47" t="e">
        <f>AND(Birds!AX13,"AAAAAD2t/gk=")</f>
        <v>#VALUE!</v>
      </c>
      <c r="K47" t="e">
        <f>AND(Birds!AY13,"AAAAAD2t/go=")</f>
        <v>#VALUE!</v>
      </c>
      <c r="L47" t="e">
        <f>AND(Birds!AZ13,"AAAAAD2t/gs=")</f>
        <v>#VALUE!</v>
      </c>
      <c r="M47" t="e">
        <f>AND(Birds!BA13,"AAAAAD2t/gw=")</f>
        <v>#VALUE!</v>
      </c>
      <c r="N47" t="e">
        <f>AND(Birds!BB13,"AAAAAD2t/g0=")</f>
        <v>#VALUE!</v>
      </c>
      <c r="O47" t="e">
        <f>AND(Birds!BC13,"AAAAAD2t/g4=")</f>
        <v>#VALUE!</v>
      </c>
      <c r="P47" t="e">
        <f>AND(Birds!BD13,"AAAAAD2t/g8=")</f>
        <v>#VALUE!</v>
      </c>
      <c r="Q47" t="e">
        <f>AND(Birds!BE13,"AAAAAD2t/hA=")</f>
        <v>#VALUE!</v>
      </c>
      <c r="R47" t="e">
        <f>AND(Birds!BF13,"AAAAAD2t/hE=")</f>
        <v>#VALUE!</v>
      </c>
      <c r="S47" t="e">
        <f>AND(Birds!BG13,"AAAAAD2t/hI=")</f>
        <v>#VALUE!</v>
      </c>
      <c r="T47" t="e">
        <f>AND(Birds!BH13,"AAAAAD2t/hM=")</f>
        <v>#VALUE!</v>
      </c>
      <c r="U47" t="e">
        <f>AND(Birds!BI13,"AAAAAD2t/hQ=")</f>
        <v>#VALUE!</v>
      </c>
      <c r="V47" t="e">
        <f>AND(Birds!BJ13,"AAAAAD2t/hU=")</f>
        <v>#VALUE!</v>
      </c>
      <c r="W47" t="e">
        <f>AND(Birds!BK13,"AAAAAD2t/hY=")</f>
        <v>#VALUE!</v>
      </c>
      <c r="X47" t="e">
        <f>AND(Birds!BL13,"AAAAAD2t/hc=")</f>
        <v>#VALUE!</v>
      </c>
      <c r="Y47" t="e">
        <f>AND(Birds!BM13,"AAAAAD2t/hg=")</f>
        <v>#VALUE!</v>
      </c>
      <c r="Z47" t="e">
        <f>AND(Birds!BN13,"AAAAAD2t/hk=")</f>
        <v>#VALUE!</v>
      </c>
      <c r="AA47" t="e">
        <f>AND(Birds!BO13,"AAAAAD2t/ho=")</f>
        <v>#VALUE!</v>
      </c>
      <c r="AB47" t="e">
        <f>AND(Birds!BP13,"AAAAAD2t/hs=")</f>
        <v>#VALUE!</v>
      </c>
      <c r="AC47" t="e">
        <f>AND(Birds!BQ13,"AAAAAD2t/hw=")</f>
        <v>#VALUE!</v>
      </c>
      <c r="AD47" t="e">
        <f>AND(Birds!BR13,"AAAAAD2t/h0=")</f>
        <v>#VALUE!</v>
      </c>
      <c r="AE47" t="e">
        <f>AND(Birds!BS13,"AAAAAD2t/h4=")</f>
        <v>#VALUE!</v>
      </c>
      <c r="AF47" t="e">
        <f>AND(Birds!BT13,"AAAAAD2t/h8=")</f>
        <v>#VALUE!</v>
      </c>
      <c r="AG47" t="e">
        <f>AND(Birds!BU13,"AAAAAD2t/iA=")</f>
        <v>#VALUE!</v>
      </c>
      <c r="AH47" t="e">
        <f>AND(Birds!BV13,"AAAAAD2t/iE=")</f>
        <v>#VALUE!</v>
      </c>
      <c r="AI47" t="e">
        <f>AND(Birds!BW13,"AAAAAD2t/iI=")</f>
        <v>#VALUE!</v>
      </c>
      <c r="AJ47" t="e">
        <f>AND(Birds!BX13,"AAAAAD2t/iM=")</f>
        <v>#VALUE!</v>
      </c>
      <c r="AK47" t="e">
        <f>AND(Birds!BY13,"AAAAAD2t/iQ=")</f>
        <v>#VALUE!</v>
      </c>
      <c r="AL47" t="e">
        <f>AND(Birds!BZ13,"AAAAAD2t/iU=")</f>
        <v>#VALUE!</v>
      </c>
      <c r="AM47" t="e">
        <f>AND(Birds!CA13,"AAAAAD2t/iY=")</f>
        <v>#VALUE!</v>
      </c>
      <c r="AN47" t="e">
        <f>AND(Birds!CB13,"AAAAAD2t/ic=")</f>
        <v>#VALUE!</v>
      </c>
      <c r="AO47" t="e">
        <f>AND(Birds!CC13,"AAAAAD2t/ig=")</f>
        <v>#VALUE!</v>
      </c>
      <c r="AP47" t="e">
        <f>AND(Birds!CD13,"AAAAAD2t/ik=")</f>
        <v>#VALUE!</v>
      </c>
      <c r="AQ47" t="e">
        <f>AND(Birds!CE13,"AAAAAD2t/io=")</f>
        <v>#VALUE!</v>
      </c>
      <c r="AR47" t="e">
        <f>AND(Birds!CF13,"AAAAAD2t/is=")</f>
        <v>#VALUE!</v>
      </c>
      <c r="AS47" t="e">
        <f>AND(Birds!CG13,"AAAAAD2t/iw=")</f>
        <v>#VALUE!</v>
      </c>
      <c r="AT47" t="e">
        <f>AND(Birds!CH13,"AAAAAD2t/i0=")</f>
        <v>#VALUE!</v>
      </c>
      <c r="AU47" t="e">
        <f>AND(Birds!CI13,"AAAAAD2t/i4=")</f>
        <v>#VALUE!</v>
      </c>
      <c r="AV47" t="e">
        <f>AND(Birds!CJ13,"AAAAAD2t/i8=")</f>
        <v>#VALUE!</v>
      </c>
      <c r="AW47" t="e">
        <f>AND(Birds!CK13,"AAAAAD2t/jA=")</f>
        <v>#VALUE!</v>
      </c>
      <c r="AX47" t="e">
        <f>AND(Birds!CL13,"AAAAAD2t/jE=")</f>
        <v>#VALUE!</v>
      </c>
      <c r="AY47" t="e">
        <f>AND(Birds!CM13,"AAAAAD2t/jI=")</f>
        <v>#VALUE!</v>
      </c>
      <c r="AZ47" t="e">
        <f>AND(Birds!CN13,"AAAAAD2t/jM=")</f>
        <v>#VALUE!</v>
      </c>
      <c r="BA47" t="e">
        <f>AND(Birds!CO13,"AAAAAD2t/jQ=")</f>
        <v>#VALUE!</v>
      </c>
      <c r="BB47" t="e">
        <f>AND(Birds!CP13,"AAAAAD2t/jU=")</f>
        <v>#VALUE!</v>
      </c>
      <c r="BC47" t="e">
        <f>AND(Birds!CQ13,"AAAAAD2t/jY=")</f>
        <v>#VALUE!</v>
      </c>
      <c r="BD47" t="e">
        <f>AND(Birds!CR13,"AAAAAD2t/jc=")</f>
        <v>#VALUE!</v>
      </c>
      <c r="BE47" t="e">
        <f>AND(Birds!CS13,"AAAAAD2t/jg=")</f>
        <v>#VALUE!</v>
      </c>
      <c r="BF47" t="e">
        <f>AND(Birds!CT13,"AAAAAD2t/jk=")</f>
        <v>#VALUE!</v>
      </c>
      <c r="BG47" t="e">
        <f>AND(Birds!CU13,"AAAAAD2t/jo=")</f>
        <v>#VALUE!</v>
      </c>
      <c r="BH47" t="e">
        <f>AND(Birds!CV13,"AAAAAD2t/js=")</f>
        <v>#VALUE!</v>
      </c>
      <c r="BI47" t="e">
        <f>AND(Birds!CW13,"AAAAAD2t/jw=")</f>
        <v>#VALUE!</v>
      </c>
      <c r="BJ47" t="e">
        <f>AND(Birds!CX13,"AAAAAD2t/j0=")</f>
        <v>#VALUE!</v>
      </c>
      <c r="BK47" t="e">
        <f>AND(Birds!CY13,"AAAAAD2t/j4=")</f>
        <v>#VALUE!</v>
      </c>
      <c r="BL47" t="e">
        <f>AND(Birds!CZ13,"AAAAAD2t/j8=")</f>
        <v>#VALUE!</v>
      </c>
      <c r="BM47" t="e">
        <f>AND(Birds!DA13,"AAAAAD2t/kA=")</f>
        <v>#VALUE!</v>
      </c>
      <c r="BN47" t="e">
        <f>AND(Birds!DB13,"AAAAAD2t/kE=")</f>
        <v>#VALUE!</v>
      </c>
      <c r="BO47" t="e">
        <f>AND(Birds!DC13,"AAAAAD2t/kI=")</f>
        <v>#VALUE!</v>
      </c>
      <c r="BP47" t="e">
        <f>AND(Birds!DD13,"AAAAAD2t/kM=")</f>
        <v>#VALUE!</v>
      </c>
      <c r="BQ47" t="e">
        <f>AND(Birds!DE13,"AAAAAD2t/kQ=")</f>
        <v>#VALUE!</v>
      </c>
      <c r="BR47" t="e">
        <f>AND(Birds!DF13,"AAAAAD2t/kU=")</f>
        <v>#VALUE!</v>
      </c>
      <c r="BS47" t="e">
        <f>AND(Birds!DG13,"AAAAAD2t/kY=")</f>
        <v>#VALUE!</v>
      </c>
      <c r="BT47" t="e">
        <f>AND(Birds!DH13,"AAAAAD2t/kc=")</f>
        <v>#VALUE!</v>
      </c>
      <c r="BU47" t="e">
        <f>AND(Birds!DI13,"AAAAAD2t/kg=")</f>
        <v>#VALUE!</v>
      </c>
      <c r="BV47" t="e">
        <f>AND(Birds!DJ13,"AAAAAD2t/kk=")</f>
        <v>#VALUE!</v>
      </c>
      <c r="BW47" t="e">
        <f>AND(Birds!DK13,"AAAAAD2t/ko=")</f>
        <v>#VALUE!</v>
      </c>
      <c r="BX47" t="e">
        <f>AND(Birds!DL13,"AAAAAD2t/ks=")</f>
        <v>#VALUE!</v>
      </c>
      <c r="BY47" t="e">
        <f>AND(Birds!DM13,"AAAAAD2t/kw=")</f>
        <v>#VALUE!</v>
      </c>
      <c r="BZ47" t="e">
        <f>AND(Birds!DN13,"AAAAAD2t/k0=")</f>
        <v>#VALUE!</v>
      </c>
      <c r="CA47" t="e">
        <f>AND(Birds!DO13,"AAAAAD2t/k4=")</f>
        <v>#VALUE!</v>
      </c>
      <c r="CB47" t="e">
        <f>AND(Birds!DP13,"AAAAAD2t/k8=")</f>
        <v>#VALUE!</v>
      </c>
      <c r="CC47" t="e">
        <f>AND(Birds!DQ13,"AAAAAD2t/lA=")</f>
        <v>#VALUE!</v>
      </c>
      <c r="CD47" t="e">
        <f>AND(Birds!DR13,"AAAAAD2t/lE=")</f>
        <v>#VALUE!</v>
      </c>
      <c r="CE47" t="e">
        <f>AND(Birds!DS13,"AAAAAD2t/lI=")</f>
        <v>#VALUE!</v>
      </c>
      <c r="CF47" t="e">
        <f>AND(Birds!DT13,"AAAAAD2t/lM=")</f>
        <v>#VALUE!</v>
      </c>
      <c r="CG47" t="e">
        <f>AND(Birds!DU13,"AAAAAD2t/lQ=")</f>
        <v>#VALUE!</v>
      </c>
      <c r="CH47" t="e">
        <f>AND(Birds!DV13,"AAAAAD2t/lU=")</f>
        <v>#VALUE!</v>
      </c>
      <c r="CI47" t="e">
        <f>AND(Birds!DW13,"AAAAAD2t/lY=")</f>
        <v>#VALUE!</v>
      </c>
      <c r="CJ47" t="e">
        <f>AND(Birds!DX13,"AAAAAD2t/lc=")</f>
        <v>#VALUE!</v>
      </c>
      <c r="CK47" t="e">
        <f>AND(Birds!DY13,"AAAAAD2t/lg=")</f>
        <v>#VALUE!</v>
      </c>
      <c r="CL47" t="e">
        <f>AND(Birds!DZ13,"AAAAAD2t/lk=")</f>
        <v>#VALUE!</v>
      </c>
      <c r="CM47" t="e">
        <f>AND(Birds!EA13,"AAAAAD2t/lo=")</f>
        <v>#VALUE!</v>
      </c>
      <c r="CN47" t="e">
        <f>AND(Birds!EB13,"AAAAAD2t/ls=")</f>
        <v>#VALUE!</v>
      </c>
      <c r="CO47" t="e">
        <f>AND(Birds!EC13,"AAAAAD2t/lw=")</f>
        <v>#VALUE!</v>
      </c>
      <c r="CP47" t="e">
        <f>AND(Birds!ED13,"AAAAAD2t/l0=")</f>
        <v>#VALUE!</v>
      </c>
      <c r="CQ47" t="e">
        <f>AND(Birds!EE13,"AAAAAD2t/l4=")</f>
        <v>#VALUE!</v>
      </c>
      <c r="CR47" t="e">
        <f>AND(Birds!EF13,"AAAAAD2t/l8=")</f>
        <v>#VALUE!</v>
      </c>
      <c r="CS47" t="e">
        <f>AND(Birds!EG13,"AAAAAD2t/mA=")</f>
        <v>#VALUE!</v>
      </c>
      <c r="CT47" t="e">
        <f>AND(Birds!EH13,"AAAAAD2t/mE=")</f>
        <v>#VALUE!</v>
      </c>
      <c r="CU47" t="e">
        <f>AND(Birds!EI13,"AAAAAD2t/mI=")</f>
        <v>#VALUE!</v>
      </c>
      <c r="CV47" t="e">
        <f>AND(Birds!EJ13,"AAAAAD2t/mM=")</f>
        <v>#VALUE!</v>
      </c>
      <c r="CW47" t="e">
        <f>AND(Birds!EK13,"AAAAAD2t/mQ=")</f>
        <v>#VALUE!</v>
      </c>
      <c r="CX47" t="e">
        <f>AND(Birds!EL13,"AAAAAD2t/mU=")</f>
        <v>#VALUE!</v>
      </c>
      <c r="CY47" t="e">
        <f>AND(Birds!EM13,"AAAAAD2t/mY=")</f>
        <v>#VALUE!</v>
      </c>
      <c r="CZ47" t="e">
        <f>AND(Birds!EN13,"AAAAAD2t/mc=")</f>
        <v>#VALUE!</v>
      </c>
      <c r="DA47" t="e">
        <f>AND(Birds!EO13,"AAAAAD2t/mg=")</f>
        <v>#VALUE!</v>
      </c>
      <c r="DB47" t="e">
        <f>AND(Birds!EP13,"AAAAAD2t/mk=")</f>
        <v>#VALUE!</v>
      </c>
      <c r="DC47" t="e">
        <f>AND(Birds!EQ13,"AAAAAD2t/mo=")</f>
        <v>#VALUE!</v>
      </c>
      <c r="DD47" t="e">
        <f>AND(Birds!ER13,"AAAAAD2t/ms=")</f>
        <v>#VALUE!</v>
      </c>
      <c r="DE47" t="e">
        <f>AND(Birds!ES13,"AAAAAD2t/mw=")</f>
        <v>#VALUE!</v>
      </c>
      <c r="DF47" t="e">
        <f>AND(Birds!ET13,"AAAAAD2t/m0=")</f>
        <v>#VALUE!</v>
      </c>
      <c r="DG47" t="e">
        <f>AND(Birds!EU13,"AAAAAD2t/m4=")</f>
        <v>#VALUE!</v>
      </c>
      <c r="DH47" t="e">
        <f>AND(Birds!EV13,"AAAAAD2t/m8=")</f>
        <v>#VALUE!</v>
      </c>
      <c r="DI47" t="e">
        <f>AND(Birds!EW13,"AAAAAD2t/nA=")</f>
        <v>#VALUE!</v>
      </c>
      <c r="DJ47" t="e">
        <f>AND(Birds!EX13,"AAAAAD2t/nE=")</f>
        <v>#VALUE!</v>
      </c>
      <c r="DK47" t="e">
        <f>AND(Birds!EY13,"AAAAAD2t/nI=")</f>
        <v>#VALUE!</v>
      </c>
      <c r="DL47" t="e">
        <f>AND(Birds!EZ13,"AAAAAD2t/nM=")</f>
        <v>#VALUE!</v>
      </c>
      <c r="DM47" t="e">
        <f>AND(Birds!FA13,"AAAAAD2t/nQ=")</f>
        <v>#VALUE!</v>
      </c>
      <c r="DN47" t="e">
        <f>AND(Birds!FB13,"AAAAAD2t/nU=")</f>
        <v>#VALUE!</v>
      </c>
      <c r="DO47" t="e">
        <f>AND(Birds!FC13,"AAAAAD2t/nY=")</f>
        <v>#VALUE!</v>
      </c>
      <c r="DP47" t="e">
        <f>AND(Birds!FD13,"AAAAAD2t/nc=")</f>
        <v>#VALUE!</v>
      </c>
      <c r="DQ47" t="e">
        <f>AND(Birds!FE13,"AAAAAD2t/ng=")</f>
        <v>#VALUE!</v>
      </c>
      <c r="DR47" t="e">
        <f>AND(Birds!FF13,"AAAAAD2t/nk=")</f>
        <v>#VALUE!</v>
      </c>
      <c r="DS47" t="e">
        <f>AND(Birds!FG13,"AAAAAD2t/no=")</f>
        <v>#VALUE!</v>
      </c>
      <c r="DT47" t="e">
        <f>AND(Birds!FH13,"AAAAAD2t/ns=")</f>
        <v>#VALUE!</v>
      </c>
      <c r="DU47" t="e">
        <f>AND(Birds!FI13,"AAAAAD2t/nw=")</f>
        <v>#VALUE!</v>
      </c>
      <c r="DV47" t="e">
        <f>AND(Birds!FJ13,"AAAAAD2t/n0=")</f>
        <v>#VALUE!</v>
      </c>
      <c r="DW47" t="e">
        <f>AND(Birds!FK13,"AAAAAD2t/n4=")</f>
        <v>#VALUE!</v>
      </c>
      <c r="DX47" t="e">
        <f>AND(Birds!FL13,"AAAAAD2t/n8=")</f>
        <v>#VALUE!</v>
      </c>
      <c r="DY47" t="e">
        <f>AND(Birds!FM13,"AAAAAD2t/oA=")</f>
        <v>#VALUE!</v>
      </c>
      <c r="DZ47" t="e">
        <f>AND(Birds!FN13,"AAAAAD2t/oE=")</f>
        <v>#VALUE!</v>
      </c>
      <c r="EA47" t="e">
        <f>AND(Birds!FO13,"AAAAAD2t/oI=")</f>
        <v>#VALUE!</v>
      </c>
      <c r="EB47" t="e">
        <f>AND(Birds!FP13,"AAAAAD2t/oM=")</f>
        <v>#VALUE!</v>
      </c>
      <c r="EC47" t="e">
        <f>AND(Birds!FQ13,"AAAAAD2t/oQ=")</f>
        <v>#VALUE!</v>
      </c>
      <c r="ED47" t="e">
        <f>AND(Birds!FR13,"AAAAAD2t/oU=")</f>
        <v>#VALUE!</v>
      </c>
      <c r="EE47" t="e">
        <f>AND(Birds!FS13,"AAAAAD2t/oY=")</f>
        <v>#VALUE!</v>
      </c>
      <c r="EF47" t="e">
        <f>AND(Birds!FT13,"AAAAAD2t/oc=")</f>
        <v>#VALUE!</v>
      </c>
      <c r="EG47" t="e">
        <f>AND(Birds!FU13,"AAAAAD2t/og=")</f>
        <v>#VALUE!</v>
      </c>
      <c r="EH47" t="e">
        <f>AND(Birds!FV13,"AAAAAD2t/ok=")</f>
        <v>#VALUE!</v>
      </c>
      <c r="EI47" t="e">
        <f>AND(Birds!FW13,"AAAAAD2t/oo=")</f>
        <v>#VALUE!</v>
      </c>
      <c r="EJ47" t="e">
        <f>AND(Birds!FX13,"AAAAAD2t/os=")</f>
        <v>#VALUE!</v>
      </c>
      <c r="EK47" t="e">
        <f>AND(Birds!FY13,"AAAAAD2t/ow=")</f>
        <v>#VALUE!</v>
      </c>
      <c r="EL47" t="e">
        <f>AND(Birds!FZ13,"AAAAAD2t/o0=")</f>
        <v>#VALUE!</v>
      </c>
      <c r="EM47" t="e">
        <f>AND(Birds!GA13,"AAAAAD2t/o4=")</f>
        <v>#VALUE!</v>
      </c>
      <c r="EN47" t="e">
        <f>AND(Birds!GB13,"AAAAAD2t/o8=")</f>
        <v>#VALUE!</v>
      </c>
      <c r="EO47" t="e">
        <f>AND(Birds!GC13,"AAAAAD2t/pA=")</f>
        <v>#VALUE!</v>
      </c>
      <c r="EP47" t="e">
        <f>AND(Birds!GD13,"AAAAAD2t/pE=")</f>
        <v>#VALUE!</v>
      </c>
      <c r="EQ47" t="e">
        <f>AND(Birds!GE13,"AAAAAD2t/pI=")</f>
        <v>#VALUE!</v>
      </c>
      <c r="ER47" t="e">
        <f>AND(Birds!GF13,"AAAAAD2t/pM=")</f>
        <v>#VALUE!</v>
      </c>
      <c r="ES47" t="e">
        <f>AND(Birds!GG13,"AAAAAD2t/pQ=")</f>
        <v>#VALUE!</v>
      </c>
      <c r="ET47" t="e">
        <f>AND(Birds!GH13,"AAAAAD2t/pU=")</f>
        <v>#VALUE!</v>
      </c>
      <c r="EU47" t="e">
        <f>AND(Birds!GI13,"AAAAAD2t/pY=")</f>
        <v>#VALUE!</v>
      </c>
      <c r="EV47" t="e">
        <f>AND(Birds!GJ13,"AAAAAD2t/pc=")</f>
        <v>#VALUE!</v>
      </c>
      <c r="EW47" t="e">
        <f>AND(Birds!GK13,"AAAAAD2t/pg=")</f>
        <v>#VALUE!</v>
      </c>
      <c r="EX47" t="e">
        <f>AND(Birds!GL13,"AAAAAD2t/pk=")</f>
        <v>#VALUE!</v>
      </c>
      <c r="EY47" t="e">
        <f>AND(Birds!GM13,"AAAAAD2t/po=")</f>
        <v>#VALUE!</v>
      </c>
      <c r="EZ47">
        <f>IF(Birds!14:14,"AAAAAD2t/ps=",0)</f>
        <v>0</v>
      </c>
      <c r="FA47" t="e">
        <f>AND(Birds!A14,"AAAAAD2t/pw=")</f>
        <v>#VALUE!</v>
      </c>
      <c r="FB47" t="e">
        <f>AND(Birds!B14,"AAAAAD2t/p0=")</f>
        <v>#VALUE!</v>
      </c>
      <c r="FC47" t="e">
        <f>AND(Birds!C14,"AAAAAD2t/p4=")</f>
        <v>#VALUE!</v>
      </c>
      <c r="FD47" t="e">
        <f>AND(Birds!D14,"AAAAAD2t/p8=")</f>
        <v>#VALUE!</v>
      </c>
      <c r="FE47" t="e">
        <f>AND(Birds!E14,"AAAAAD2t/qA=")</f>
        <v>#VALUE!</v>
      </c>
      <c r="FF47" t="e">
        <f>AND(Birds!F14,"AAAAAD2t/qE=")</f>
        <v>#VALUE!</v>
      </c>
      <c r="FG47" t="e">
        <f>AND(Birds!G14,"AAAAAD2t/qI=")</f>
        <v>#VALUE!</v>
      </c>
      <c r="FH47" t="e">
        <f>AND(Birds!H14,"AAAAAD2t/qM=")</f>
        <v>#VALUE!</v>
      </c>
      <c r="FI47" t="e">
        <f>AND(Birds!I14,"AAAAAD2t/qQ=")</f>
        <v>#VALUE!</v>
      </c>
      <c r="FJ47" t="e">
        <f>AND(Birds!J14,"AAAAAD2t/qU=")</f>
        <v>#VALUE!</v>
      </c>
      <c r="FK47" t="e">
        <f>AND(Birds!K14,"AAAAAD2t/qY=")</f>
        <v>#VALUE!</v>
      </c>
      <c r="FL47" t="e">
        <f>AND(Birds!L14,"AAAAAD2t/qc=")</f>
        <v>#VALUE!</v>
      </c>
      <c r="FM47" t="e">
        <f>AND(Birds!M14,"AAAAAD2t/qg=")</f>
        <v>#VALUE!</v>
      </c>
      <c r="FN47" t="e">
        <f>AND(Birds!N14,"AAAAAD2t/qk=")</f>
        <v>#VALUE!</v>
      </c>
      <c r="FO47" t="e">
        <f>AND(Birds!O14,"AAAAAD2t/qo=")</f>
        <v>#VALUE!</v>
      </c>
      <c r="FP47" t="e">
        <f>AND(Birds!P14,"AAAAAD2t/qs=")</f>
        <v>#VALUE!</v>
      </c>
      <c r="FQ47" t="e">
        <f>AND(Birds!Q14,"AAAAAD2t/qw=")</f>
        <v>#VALUE!</v>
      </c>
      <c r="FR47" t="e">
        <f>AND(Birds!R14,"AAAAAD2t/q0=")</f>
        <v>#VALUE!</v>
      </c>
      <c r="FS47" t="e">
        <f>AND(Birds!S14,"AAAAAD2t/q4=")</f>
        <v>#VALUE!</v>
      </c>
      <c r="FT47" t="e">
        <f>AND(Birds!T14,"AAAAAD2t/q8=")</f>
        <v>#VALUE!</v>
      </c>
      <c r="FU47" t="e">
        <f>AND(Birds!U14,"AAAAAD2t/rA=")</f>
        <v>#VALUE!</v>
      </c>
      <c r="FV47" t="e">
        <f>AND(Birds!V14,"AAAAAD2t/rE=")</f>
        <v>#VALUE!</v>
      </c>
      <c r="FW47" t="e">
        <f>AND(Birds!W14,"AAAAAD2t/rI=")</f>
        <v>#VALUE!</v>
      </c>
      <c r="FX47" t="e">
        <f>AND(Birds!X14,"AAAAAD2t/rM=")</f>
        <v>#VALUE!</v>
      </c>
      <c r="FY47" t="e">
        <f>AND(Birds!Y14,"AAAAAD2t/rQ=")</f>
        <v>#VALUE!</v>
      </c>
      <c r="FZ47" t="e">
        <f>AND(Birds!Z14,"AAAAAD2t/rU=")</f>
        <v>#VALUE!</v>
      </c>
      <c r="GA47" t="e">
        <f>AND(Birds!AA14,"AAAAAD2t/rY=")</f>
        <v>#VALUE!</v>
      </c>
      <c r="GB47" t="e">
        <f>AND(Birds!AB14,"AAAAAD2t/rc=")</f>
        <v>#VALUE!</v>
      </c>
      <c r="GC47" t="e">
        <f>AND(Birds!AC14,"AAAAAD2t/rg=")</f>
        <v>#VALUE!</v>
      </c>
      <c r="GD47" t="e">
        <f>AND(Birds!AD14,"AAAAAD2t/rk=")</f>
        <v>#VALUE!</v>
      </c>
      <c r="GE47" t="e">
        <f>AND(Birds!AE14,"AAAAAD2t/ro=")</f>
        <v>#VALUE!</v>
      </c>
      <c r="GF47" t="e">
        <f>AND(Birds!AF14,"AAAAAD2t/rs=")</f>
        <v>#VALUE!</v>
      </c>
      <c r="GG47" t="e">
        <f>AND(Birds!AG14,"AAAAAD2t/rw=")</f>
        <v>#VALUE!</v>
      </c>
      <c r="GH47" t="e">
        <f>AND(Birds!AH14,"AAAAAD2t/r0=")</f>
        <v>#VALUE!</v>
      </c>
      <c r="GI47" t="e">
        <f>AND(Birds!AI14,"AAAAAD2t/r4=")</f>
        <v>#VALUE!</v>
      </c>
      <c r="GJ47" t="e">
        <f>AND(Birds!AJ14,"AAAAAD2t/r8=")</f>
        <v>#VALUE!</v>
      </c>
      <c r="GK47" t="e">
        <f>AND(Birds!AK14,"AAAAAD2t/sA=")</f>
        <v>#VALUE!</v>
      </c>
      <c r="GL47" t="e">
        <f>AND(Birds!AL14,"AAAAAD2t/sE=")</f>
        <v>#VALUE!</v>
      </c>
      <c r="GM47" t="e">
        <f>AND(Birds!AM14,"AAAAAD2t/sI=")</f>
        <v>#VALUE!</v>
      </c>
      <c r="GN47" t="e">
        <f>AND(Birds!AN14,"AAAAAD2t/sM=")</f>
        <v>#VALUE!</v>
      </c>
      <c r="GO47" t="e">
        <f>AND(Birds!AO14,"AAAAAD2t/sQ=")</f>
        <v>#VALUE!</v>
      </c>
      <c r="GP47" t="e">
        <f>AND(Birds!AP14,"AAAAAD2t/sU=")</f>
        <v>#VALUE!</v>
      </c>
      <c r="GQ47" t="e">
        <f>AND(Birds!AQ14,"AAAAAD2t/sY=")</f>
        <v>#VALUE!</v>
      </c>
      <c r="GR47" t="e">
        <f>AND(Birds!AR14,"AAAAAD2t/sc=")</f>
        <v>#VALUE!</v>
      </c>
      <c r="GS47" t="e">
        <f>AND(Birds!AS14,"AAAAAD2t/sg=")</f>
        <v>#VALUE!</v>
      </c>
      <c r="GT47" t="e">
        <f>AND(Birds!AT14,"AAAAAD2t/sk=")</f>
        <v>#VALUE!</v>
      </c>
      <c r="GU47" t="e">
        <f>AND(Birds!AU14,"AAAAAD2t/so=")</f>
        <v>#VALUE!</v>
      </c>
      <c r="GV47" t="e">
        <f>AND(Birds!AV14,"AAAAAD2t/ss=")</f>
        <v>#VALUE!</v>
      </c>
      <c r="GW47" t="e">
        <f>AND(Birds!AW14,"AAAAAD2t/sw=")</f>
        <v>#VALUE!</v>
      </c>
      <c r="GX47" t="e">
        <f>AND(Birds!AX14,"AAAAAD2t/s0=")</f>
        <v>#VALUE!</v>
      </c>
      <c r="GY47" t="e">
        <f>AND(Birds!AY14,"AAAAAD2t/s4=")</f>
        <v>#VALUE!</v>
      </c>
      <c r="GZ47" t="e">
        <f>AND(Birds!AZ14,"AAAAAD2t/s8=")</f>
        <v>#VALUE!</v>
      </c>
      <c r="HA47" t="e">
        <f>AND(Birds!BA14,"AAAAAD2t/tA=")</f>
        <v>#VALUE!</v>
      </c>
      <c r="HB47" t="e">
        <f>AND(Birds!BB14,"AAAAAD2t/tE=")</f>
        <v>#VALUE!</v>
      </c>
      <c r="HC47" t="e">
        <f>AND(Birds!BC14,"AAAAAD2t/tI=")</f>
        <v>#VALUE!</v>
      </c>
      <c r="HD47" t="e">
        <f>AND(Birds!BD14,"AAAAAD2t/tM=")</f>
        <v>#VALUE!</v>
      </c>
      <c r="HE47" t="e">
        <f>AND(Birds!BE14,"AAAAAD2t/tQ=")</f>
        <v>#VALUE!</v>
      </c>
      <c r="HF47" t="e">
        <f>AND(Birds!BF14,"AAAAAD2t/tU=")</f>
        <v>#VALUE!</v>
      </c>
      <c r="HG47" t="e">
        <f>AND(Birds!BG14,"AAAAAD2t/tY=")</f>
        <v>#VALUE!</v>
      </c>
      <c r="HH47" t="e">
        <f>AND(Birds!BH14,"AAAAAD2t/tc=")</f>
        <v>#VALUE!</v>
      </c>
      <c r="HI47" t="e">
        <f>AND(Birds!BI14,"AAAAAD2t/tg=")</f>
        <v>#VALUE!</v>
      </c>
      <c r="HJ47" t="e">
        <f>AND(Birds!BJ14,"AAAAAD2t/tk=")</f>
        <v>#VALUE!</v>
      </c>
      <c r="HK47" t="e">
        <f>AND(Birds!BK14,"AAAAAD2t/to=")</f>
        <v>#VALUE!</v>
      </c>
      <c r="HL47" t="e">
        <f>AND(Birds!BL14,"AAAAAD2t/ts=")</f>
        <v>#VALUE!</v>
      </c>
      <c r="HM47" t="e">
        <f>AND(Birds!BM14,"AAAAAD2t/tw=")</f>
        <v>#VALUE!</v>
      </c>
      <c r="HN47" t="e">
        <f>AND(Birds!BN14,"AAAAAD2t/t0=")</f>
        <v>#VALUE!</v>
      </c>
      <c r="HO47" t="e">
        <f>AND(Birds!BO14,"AAAAAD2t/t4=")</f>
        <v>#VALUE!</v>
      </c>
      <c r="HP47" t="e">
        <f>AND(Birds!BP14,"AAAAAD2t/t8=")</f>
        <v>#VALUE!</v>
      </c>
      <c r="HQ47" t="e">
        <f>AND(Birds!BQ14,"AAAAAD2t/uA=")</f>
        <v>#VALUE!</v>
      </c>
      <c r="HR47" t="e">
        <f>AND(Birds!BR14,"AAAAAD2t/uE=")</f>
        <v>#VALUE!</v>
      </c>
      <c r="HS47" t="e">
        <f>AND(Birds!BS14,"AAAAAD2t/uI=")</f>
        <v>#VALUE!</v>
      </c>
      <c r="HT47" t="e">
        <f>AND(Birds!BT14,"AAAAAD2t/uM=")</f>
        <v>#VALUE!</v>
      </c>
      <c r="HU47" t="e">
        <f>AND(Birds!BU14,"AAAAAD2t/uQ=")</f>
        <v>#VALUE!</v>
      </c>
      <c r="HV47" t="e">
        <f>AND(Birds!BV14,"AAAAAD2t/uU=")</f>
        <v>#VALUE!</v>
      </c>
      <c r="HW47" t="e">
        <f>AND(Birds!BW14,"AAAAAD2t/uY=")</f>
        <v>#VALUE!</v>
      </c>
      <c r="HX47" t="e">
        <f>AND(Birds!BX14,"AAAAAD2t/uc=")</f>
        <v>#VALUE!</v>
      </c>
      <c r="HY47" t="e">
        <f>AND(Birds!BY14,"AAAAAD2t/ug=")</f>
        <v>#VALUE!</v>
      </c>
      <c r="HZ47" t="e">
        <f>AND(Birds!BZ14,"AAAAAD2t/uk=")</f>
        <v>#VALUE!</v>
      </c>
      <c r="IA47" t="e">
        <f>AND(Birds!CA14,"AAAAAD2t/uo=")</f>
        <v>#VALUE!</v>
      </c>
      <c r="IB47" t="e">
        <f>AND(Birds!CB14,"AAAAAD2t/us=")</f>
        <v>#VALUE!</v>
      </c>
      <c r="IC47" t="e">
        <f>AND(Birds!CC14,"AAAAAD2t/uw=")</f>
        <v>#VALUE!</v>
      </c>
      <c r="ID47" t="e">
        <f>AND(Birds!CD14,"AAAAAD2t/u0=")</f>
        <v>#VALUE!</v>
      </c>
      <c r="IE47" t="e">
        <f>AND(Birds!CE14,"AAAAAD2t/u4=")</f>
        <v>#VALUE!</v>
      </c>
      <c r="IF47" t="e">
        <f>AND(Birds!CF14,"AAAAAD2t/u8=")</f>
        <v>#VALUE!</v>
      </c>
      <c r="IG47" t="e">
        <f>AND(Birds!CG14,"AAAAAD2t/vA=")</f>
        <v>#VALUE!</v>
      </c>
      <c r="IH47" t="e">
        <f>AND(Birds!CH14,"AAAAAD2t/vE=")</f>
        <v>#VALUE!</v>
      </c>
      <c r="II47" t="e">
        <f>AND(Birds!CI14,"AAAAAD2t/vI=")</f>
        <v>#VALUE!</v>
      </c>
      <c r="IJ47" t="e">
        <f>AND(Birds!CJ14,"AAAAAD2t/vM=")</f>
        <v>#VALUE!</v>
      </c>
      <c r="IK47" t="e">
        <f>AND(Birds!CK14,"AAAAAD2t/vQ=")</f>
        <v>#VALUE!</v>
      </c>
      <c r="IL47" t="e">
        <f>AND(Birds!CL14,"AAAAAD2t/vU=")</f>
        <v>#VALUE!</v>
      </c>
      <c r="IM47" t="e">
        <f>AND(Birds!CM14,"AAAAAD2t/vY=")</f>
        <v>#VALUE!</v>
      </c>
      <c r="IN47" t="e">
        <f>AND(Birds!CN14,"AAAAAD2t/vc=")</f>
        <v>#VALUE!</v>
      </c>
      <c r="IO47" t="e">
        <f>AND(Birds!CO14,"AAAAAD2t/vg=")</f>
        <v>#VALUE!</v>
      </c>
      <c r="IP47" t="e">
        <f>AND(Birds!CP14,"AAAAAD2t/vk=")</f>
        <v>#VALUE!</v>
      </c>
      <c r="IQ47" t="e">
        <f>AND(Birds!CQ14,"AAAAAD2t/vo=")</f>
        <v>#VALUE!</v>
      </c>
      <c r="IR47" t="e">
        <f>AND(Birds!CR14,"AAAAAD2t/vs=")</f>
        <v>#VALUE!</v>
      </c>
      <c r="IS47" t="e">
        <f>AND(Birds!CS14,"AAAAAD2t/vw=")</f>
        <v>#VALUE!</v>
      </c>
      <c r="IT47" t="e">
        <f>AND(Birds!CT14,"AAAAAD2t/v0=")</f>
        <v>#VALUE!</v>
      </c>
      <c r="IU47" t="e">
        <f>AND(Birds!CU14,"AAAAAD2t/v4=")</f>
        <v>#VALUE!</v>
      </c>
      <c r="IV47" t="e">
        <f>AND(Birds!CV14,"AAAAAD2t/v8=")</f>
        <v>#VALUE!</v>
      </c>
    </row>
    <row r="48" spans="1:256">
      <c r="A48" t="e">
        <f>AND(Birds!CW14,"AAAAAH1d9wA=")</f>
        <v>#VALUE!</v>
      </c>
      <c r="B48" t="e">
        <f>AND(Birds!CX14,"AAAAAH1d9wE=")</f>
        <v>#VALUE!</v>
      </c>
      <c r="C48" t="e">
        <f>AND(Birds!CY14,"AAAAAH1d9wI=")</f>
        <v>#VALUE!</v>
      </c>
      <c r="D48" t="e">
        <f>AND(Birds!CZ14,"AAAAAH1d9wM=")</f>
        <v>#VALUE!</v>
      </c>
      <c r="E48" t="e">
        <f>AND(Birds!DA14,"AAAAAH1d9wQ=")</f>
        <v>#VALUE!</v>
      </c>
      <c r="F48" t="e">
        <f>AND(Birds!DB14,"AAAAAH1d9wU=")</f>
        <v>#VALUE!</v>
      </c>
      <c r="G48" t="e">
        <f>AND(Birds!DC14,"AAAAAH1d9wY=")</f>
        <v>#VALUE!</v>
      </c>
      <c r="H48" t="e">
        <f>AND(Birds!DD14,"AAAAAH1d9wc=")</f>
        <v>#VALUE!</v>
      </c>
      <c r="I48" t="e">
        <f>AND(Birds!DE14,"AAAAAH1d9wg=")</f>
        <v>#VALUE!</v>
      </c>
      <c r="J48" t="e">
        <f>AND(Birds!DF14,"AAAAAH1d9wk=")</f>
        <v>#VALUE!</v>
      </c>
      <c r="K48" t="e">
        <f>AND(Birds!DG14,"AAAAAH1d9wo=")</f>
        <v>#VALUE!</v>
      </c>
      <c r="L48" t="e">
        <f>AND(Birds!DH14,"AAAAAH1d9ws=")</f>
        <v>#VALUE!</v>
      </c>
      <c r="M48" t="e">
        <f>AND(Birds!DI14,"AAAAAH1d9ww=")</f>
        <v>#VALUE!</v>
      </c>
      <c r="N48" t="e">
        <f>AND(Birds!DJ14,"AAAAAH1d9w0=")</f>
        <v>#VALUE!</v>
      </c>
      <c r="O48" t="e">
        <f>AND(Birds!DK14,"AAAAAH1d9w4=")</f>
        <v>#VALUE!</v>
      </c>
      <c r="P48" t="e">
        <f>AND(Birds!DL14,"AAAAAH1d9w8=")</f>
        <v>#VALUE!</v>
      </c>
      <c r="Q48" t="e">
        <f>AND(Birds!DM14,"AAAAAH1d9xA=")</f>
        <v>#VALUE!</v>
      </c>
      <c r="R48" t="e">
        <f>AND(Birds!DN14,"AAAAAH1d9xE=")</f>
        <v>#VALUE!</v>
      </c>
      <c r="S48" t="e">
        <f>AND(Birds!DO14,"AAAAAH1d9xI=")</f>
        <v>#VALUE!</v>
      </c>
      <c r="T48" t="e">
        <f>AND(Birds!DP14,"AAAAAH1d9xM=")</f>
        <v>#VALUE!</v>
      </c>
      <c r="U48" t="e">
        <f>AND(Birds!DQ14,"AAAAAH1d9xQ=")</f>
        <v>#VALUE!</v>
      </c>
      <c r="V48" t="e">
        <f>AND(Birds!DR14,"AAAAAH1d9xU=")</f>
        <v>#VALUE!</v>
      </c>
      <c r="W48" t="e">
        <f>AND(Birds!DS14,"AAAAAH1d9xY=")</f>
        <v>#VALUE!</v>
      </c>
      <c r="X48" t="e">
        <f>AND(Birds!DT14,"AAAAAH1d9xc=")</f>
        <v>#VALUE!</v>
      </c>
      <c r="Y48" t="e">
        <f>AND(Birds!DU14,"AAAAAH1d9xg=")</f>
        <v>#VALUE!</v>
      </c>
      <c r="Z48" t="e">
        <f>AND(Birds!DV14,"AAAAAH1d9xk=")</f>
        <v>#VALUE!</v>
      </c>
      <c r="AA48" t="e">
        <f>AND(Birds!DW14,"AAAAAH1d9xo=")</f>
        <v>#VALUE!</v>
      </c>
      <c r="AB48" t="e">
        <f>AND(Birds!DX14,"AAAAAH1d9xs=")</f>
        <v>#VALUE!</v>
      </c>
      <c r="AC48" t="e">
        <f>AND(Birds!DY14,"AAAAAH1d9xw=")</f>
        <v>#VALUE!</v>
      </c>
      <c r="AD48" t="e">
        <f>AND(Birds!DZ14,"AAAAAH1d9x0=")</f>
        <v>#VALUE!</v>
      </c>
      <c r="AE48" t="e">
        <f>AND(Birds!EA14,"AAAAAH1d9x4=")</f>
        <v>#VALUE!</v>
      </c>
      <c r="AF48" t="e">
        <f>AND(Birds!EB14,"AAAAAH1d9x8=")</f>
        <v>#VALUE!</v>
      </c>
      <c r="AG48" t="e">
        <f>AND(Birds!EC14,"AAAAAH1d9yA=")</f>
        <v>#VALUE!</v>
      </c>
      <c r="AH48" t="e">
        <f>AND(Birds!ED14,"AAAAAH1d9yE=")</f>
        <v>#VALUE!</v>
      </c>
      <c r="AI48" t="e">
        <f>AND(Birds!EE14,"AAAAAH1d9yI=")</f>
        <v>#VALUE!</v>
      </c>
      <c r="AJ48" t="e">
        <f>AND(Birds!EF14,"AAAAAH1d9yM=")</f>
        <v>#VALUE!</v>
      </c>
      <c r="AK48" t="e">
        <f>AND(Birds!EG14,"AAAAAH1d9yQ=")</f>
        <v>#VALUE!</v>
      </c>
      <c r="AL48" t="e">
        <f>AND(Birds!EH14,"AAAAAH1d9yU=")</f>
        <v>#VALUE!</v>
      </c>
      <c r="AM48" t="e">
        <f>AND(Birds!EI14,"AAAAAH1d9yY=")</f>
        <v>#VALUE!</v>
      </c>
      <c r="AN48" t="e">
        <f>AND(Birds!EJ14,"AAAAAH1d9yc=")</f>
        <v>#VALUE!</v>
      </c>
      <c r="AO48" t="e">
        <f>AND(Birds!EK14,"AAAAAH1d9yg=")</f>
        <v>#VALUE!</v>
      </c>
      <c r="AP48" t="e">
        <f>AND(Birds!EL14,"AAAAAH1d9yk=")</f>
        <v>#VALUE!</v>
      </c>
      <c r="AQ48" t="e">
        <f>AND(Birds!EM14,"AAAAAH1d9yo=")</f>
        <v>#VALUE!</v>
      </c>
      <c r="AR48" t="e">
        <f>AND(Birds!EN14,"AAAAAH1d9ys=")</f>
        <v>#VALUE!</v>
      </c>
      <c r="AS48" t="e">
        <f>AND(Birds!EO14,"AAAAAH1d9yw=")</f>
        <v>#VALUE!</v>
      </c>
      <c r="AT48" t="e">
        <f>AND(Birds!EP14,"AAAAAH1d9y0=")</f>
        <v>#VALUE!</v>
      </c>
      <c r="AU48" t="e">
        <f>AND(Birds!EQ14,"AAAAAH1d9y4=")</f>
        <v>#VALUE!</v>
      </c>
      <c r="AV48" t="e">
        <f>AND(Birds!ER14,"AAAAAH1d9y8=")</f>
        <v>#VALUE!</v>
      </c>
      <c r="AW48" t="e">
        <f>AND(Birds!ES14,"AAAAAH1d9zA=")</f>
        <v>#VALUE!</v>
      </c>
      <c r="AX48" t="e">
        <f>AND(Birds!ET14,"AAAAAH1d9zE=")</f>
        <v>#VALUE!</v>
      </c>
      <c r="AY48" t="e">
        <f>AND(Birds!EU14,"AAAAAH1d9zI=")</f>
        <v>#VALUE!</v>
      </c>
      <c r="AZ48" t="e">
        <f>AND(Birds!EV14,"AAAAAH1d9zM=")</f>
        <v>#VALUE!</v>
      </c>
      <c r="BA48" t="e">
        <f>AND(Birds!EW14,"AAAAAH1d9zQ=")</f>
        <v>#VALUE!</v>
      </c>
      <c r="BB48" t="e">
        <f>AND(Birds!EX14,"AAAAAH1d9zU=")</f>
        <v>#VALUE!</v>
      </c>
      <c r="BC48" t="e">
        <f>AND(Birds!EY14,"AAAAAH1d9zY=")</f>
        <v>#VALUE!</v>
      </c>
      <c r="BD48" t="e">
        <f>AND(Birds!EZ14,"AAAAAH1d9zc=")</f>
        <v>#VALUE!</v>
      </c>
      <c r="BE48" t="e">
        <f>AND(Birds!FA14,"AAAAAH1d9zg=")</f>
        <v>#VALUE!</v>
      </c>
      <c r="BF48" t="e">
        <f>AND(Birds!FB14,"AAAAAH1d9zk=")</f>
        <v>#VALUE!</v>
      </c>
      <c r="BG48" t="e">
        <f>AND(Birds!FC14,"AAAAAH1d9zo=")</f>
        <v>#VALUE!</v>
      </c>
      <c r="BH48" t="e">
        <f>AND(Birds!FD14,"AAAAAH1d9zs=")</f>
        <v>#VALUE!</v>
      </c>
      <c r="BI48" t="e">
        <f>AND(Birds!FE14,"AAAAAH1d9zw=")</f>
        <v>#VALUE!</v>
      </c>
      <c r="BJ48" t="e">
        <f>AND(Birds!FF14,"AAAAAH1d9z0=")</f>
        <v>#VALUE!</v>
      </c>
      <c r="BK48" t="e">
        <f>AND(Birds!FG14,"AAAAAH1d9z4=")</f>
        <v>#VALUE!</v>
      </c>
      <c r="BL48" t="e">
        <f>AND(Birds!FH14,"AAAAAH1d9z8=")</f>
        <v>#VALUE!</v>
      </c>
      <c r="BM48" t="e">
        <f>AND(Birds!FI14,"AAAAAH1d90A=")</f>
        <v>#VALUE!</v>
      </c>
      <c r="BN48" t="e">
        <f>AND(Birds!FJ14,"AAAAAH1d90E=")</f>
        <v>#VALUE!</v>
      </c>
      <c r="BO48" t="e">
        <f>AND(Birds!FK14,"AAAAAH1d90I=")</f>
        <v>#VALUE!</v>
      </c>
      <c r="BP48" t="e">
        <f>AND(Birds!FL14,"AAAAAH1d90M=")</f>
        <v>#VALUE!</v>
      </c>
      <c r="BQ48" t="e">
        <f>AND(Birds!FM14,"AAAAAH1d90Q=")</f>
        <v>#VALUE!</v>
      </c>
      <c r="BR48" t="e">
        <f>AND(Birds!FN14,"AAAAAH1d90U=")</f>
        <v>#VALUE!</v>
      </c>
      <c r="BS48" t="e">
        <f>AND(Birds!FO14,"AAAAAH1d90Y=")</f>
        <v>#VALUE!</v>
      </c>
      <c r="BT48" t="e">
        <f>AND(Birds!FP14,"AAAAAH1d90c=")</f>
        <v>#VALUE!</v>
      </c>
      <c r="BU48" t="e">
        <f>AND(Birds!FQ14,"AAAAAH1d90g=")</f>
        <v>#VALUE!</v>
      </c>
      <c r="BV48" t="e">
        <f>AND(Birds!FR14,"AAAAAH1d90k=")</f>
        <v>#VALUE!</v>
      </c>
      <c r="BW48" t="e">
        <f>AND(Birds!FS14,"AAAAAH1d90o=")</f>
        <v>#VALUE!</v>
      </c>
      <c r="BX48" t="e">
        <f>AND(Birds!FT14,"AAAAAH1d90s=")</f>
        <v>#VALUE!</v>
      </c>
      <c r="BY48" t="e">
        <f>AND(Birds!FU14,"AAAAAH1d90w=")</f>
        <v>#VALUE!</v>
      </c>
      <c r="BZ48" t="e">
        <f>AND(Birds!FV14,"AAAAAH1d900=")</f>
        <v>#VALUE!</v>
      </c>
      <c r="CA48" t="e">
        <f>AND(Birds!FW14,"AAAAAH1d904=")</f>
        <v>#VALUE!</v>
      </c>
      <c r="CB48" t="e">
        <f>AND(Birds!FX14,"AAAAAH1d908=")</f>
        <v>#VALUE!</v>
      </c>
      <c r="CC48" t="e">
        <f>AND(Birds!FY14,"AAAAAH1d91A=")</f>
        <v>#VALUE!</v>
      </c>
      <c r="CD48" t="e">
        <f>AND(Birds!FZ14,"AAAAAH1d91E=")</f>
        <v>#VALUE!</v>
      </c>
      <c r="CE48" t="e">
        <f>AND(Birds!GA14,"AAAAAH1d91I=")</f>
        <v>#VALUE!</v>
      </c>
      <c r="CF48" t="e">
        <f>AND(Birds!GB14,"AAAAAH1d91M=")</f>
        <v>#VALUE!</v>
      </c>
      <c r="CG48" t="e">
        <f>AND(Birds!GC14,"AAAAAH1d91Q=")</f>
        <v>#VALUE!</v>
      </c>
      <c r="CH48" t="e">
        <f>AND(Birds!GD14,"AAAAAH1d91U=")</f>
        <v>#VALUE!</v>
      </c>
      <c r="CI48" t="e">
        <f>AND(Birds!GE14,"AAAAAH1d91Y=")</f>
        <v>#VALUE!</v>
      </c>
      <c r="CJ48" t="e">
        <f>AND(Birds!GF14,"AAAAAH1d91c=")</f>
        <v>#VALUE!</v>
      </c>
      <c r="CK48" t="e">
        <f>AND(Birds!GG14,"AAAAAH1d91g=")</f>
        <v>#VALUE!</v>
      </c>
      <c r="CL48" t="e">
        <f>AND(Birds!GH14,"AAAAAH1d91k=")</f>
        <v>#VALUE!</v>
      </c>
      <c r="CM48" t="e">
        <f>AND(Birds!GI14,"AAAAAH1d91o=")</f>
        <v>#VALUE!</v>
      </c>
      <c r="CN48" t="e">
        <f>AND(Birds!GJ14,"AAAAAH1d91s=")</f>
        <v>#VALUE!</v>
      </c>
      <c r="CO48" t="e">
        <f>AND(Birds!GK14,"AAAAAH1d91w=")</f>
        <v>#VALUE!</v>
      </c>
      <c r="CP48" t="e">
        <f>AND(Birds!GL14,"AAAAAH1d910=")</f>
        <v>#VALUE!</v>
      </c>
      <c r="CQ48" t="e">
        <f>AND(Birds!GM14,"AAAAAH1d914=")</f>
        <v>#VALUE!</v>
      </c>
      <c r="CR48">
        <f>IF(Birds!15:15,"AAAAAH1d918=",0)</f>
        <v>0</v>
      </c>
      <c r="CS48" t="e">
        <f>AND(Birds!A15,"AAAAAH1d92A=")</f>
        <v>#VALUE!</v>
      </c>
      <c r="CT48" t="e">
        <f>AND(Birds!B15,"AAAAAH1d92E=")</f>
        <v>#VALUE!</v>
      </c>
      <c r="CU48" t="e">
        <f>AND(Birds!C15,"AAAAAH1d92I=")</f>
        <v>#VALUE!</v>
      </c>
      <c r="CV48" t="e">
        <f>AND(Birds!D15,"AAAAAH1d92M=")</f>
        <v>#VALUE!</v>
      </c>
      <c r="CW48" t="e">
        <f>AND(Birds!E15,"AAAAAH1d92Q=")</f>
        <v>#VALUE!</v>
      </c>
      <c r="CX48" t="e">
        <f>AND(Birds!F15,"AAAAAH1d92U=")</f>
        <v>#VALUE!</v>
      </c>
      <c r="CY48" t="e">
        <f>AND(Birds!G15,"AAAAAH1d92Y=")</f>
        <v>#VALUE!</v>
      </c>
      <c r="CZ48" t="e">
        <f>AND(Birds!H15,"AAAAAH1d92c=")</f>
        <v>#VALUE!</v>
      </c>
      <c r="DA48" t="e">
        <f>AND(Birds!I15,"AAAAAH1d92g=")</f>
        <v>#VALUE!</v>
      </c>
      <c r="DB48" t="e">
        <f>AND(Birds!J15,"AAAAAH1d92k=")</f>
        <v>#VALUE!</v>
      </c>
      <c r="DC48" t="e">
        <f>AND(Birds!K15,"AAAAAH1d92o=")</f>
        <v>#VALUE!</v>
      </c>
      <c r="DD48" t="e">
        <f>AND(Birds!L15,"AAAAAH1d92s=")</f>
        <v>#VALUE!</v>
      </c>
      <c r="DE48" t="e">
        <f>AND(Birds!M15,"AAAAAH1d92w=")</f>
        <v>#VALUE!</v>
      </c>
      <c r="DF48" t="e">
        <f>AND(Birds!N15,"AAAAAH1d920=")</f>
        <v>#VALUE!</v>
      </c>
      <c r="DG48" t="e">
        <f>AND(Birds!O15,"AAAAAH1d924=")</f>
        <v>#VALUE!</v>
      </c>
      <c r="DH48" t="e">
        <f>AND(Birds!P15,"AAAAAH1d928=")</f>
        <v>#VALUE!</v>
      </c>
      <c r="DI48" t="e">
        <f>AND(Birds!Q15,"AAAAAH1d93A=")</f>
        <v>#VALUE!</v>
      </c>
      <c r="DJ48" t="e">
        <f>AND(Birds!R15,"AAAAAH1d93E=")</f>
        <v>#VALUE!</v>
      </c>
      <c r="DK48" t="e">
        <f>AND(Birds!S15,"AAAAAH1d93I=")</f>
        <v>#VALUE!</v>
      </c>
      <c r="DL48" t="e">
        <f>AND(Birds!T15,"AAAAAH1d93M=")</f>
        <v>#VALUE!</v>
      </c>
      <c r="DM48" t="e">
        <f>AND(Birds!U15,"AAAAAH1d93Q=")</f>
        <v>#VALUE!</v>
      </c>
      <c r="DN48" t="e">
        <f>AND(Birds!V15,"AAAAAH1d93U=")</f>
        <v>#VALUE!</v>
      </c>
      <c r="DO48" t="e">
        <f>AND(Birds!W15,"AAAAAH1d93Y=")</f>
        <v>#VALUE!</v>
      </c>
      <c r="DP48" t="e">
        <f>AND(Birds!X15,"AAAAAH1d93c=")</f>
        <v>#VALUE!</v>
      </c>
      <c r="DQ48" t="e">
        <f>AND(Birds!Y15,"AAAAAH1d93g=")</f>
        <v>#VALUE!</v>
      </c>
      <c r="DR48" t="e">
        <f>AND(Birds!Z15,"AAAAAH1d93k=")</f>
        <v>#VALUE!</v>
      </c>
      <c r="DS48" t="e">
        <f>AND(Birds!AA15,"AAAAAH1d93o=")</f>
        <v>#VALUE!</v>
      </c>
      <c r="DT48" t="e">
        <f>AND(Birds!AB15,"AAAAAH1d93s=")</f>
        <v>#VALUE!</v>
      </c>
      <c r="DU48" t="e">
        <f>AND(Birds!AC15,"AAAAAH1d93w=")</f>
        <v>#VALUE!</v>
      </c>
      <c r="DV48" t="e">
        <f>AND(Birds!AD15,"AAAAAH1d930=")</f>
        <v>#VALUE!</v>
      </c>
      <c r="DW48" t="e">
        <f>AND(Birds!AE15,"AAAAAH1d934=")</f>
        <v>#VALUE!</v>
      </c>
      <c r="DX48" t="e">
        <f>AND(Birds!AF15,"AAAAAH1d938=")</f>
        <v>#VALUE!</v>
      </c>
      <c r="DY48" t="e">
        <f>AND(Birds!AG15,"AAAAAH1d94A=")</f>
        <v>#VALUE!</v>
      </c>
      <c r="DZ48" t="e">
        <f>AND(Birds!AH15,"AAAAAH1d94E=")</f>
        <v>#VALUE!</v>
      </c>
      <c r="EA48" t="e">
        <f>AND(Birds!AI15,"AAAAAH1d94I=")</f>
        <v>#VALUE!</v>
      </c>
      <c r="EB48" t="e">
        <f>AND(Birds!AJ15,"AAAAAH1d94M=")</f>
        <v>#VALUE!</v>
      </c>
      <c r="EC48" t="e">
        <f>AND(Birds!AK15,"AAAAAH1d94Q=")</f>
        <v>#VALUE!</v>
      </c>
      <c r="ED48" t="e">
        <f>AND(Birds!AL15,"AAAAAH1d94U=")</f>
        <v>#VALUE!</v>
      </c>
      <c r="EE48" t="e">
        <f>AND(Birds!AM15,"AAAAAH1d94Y=")</f>
        <v>#VALUE!</v>
      </c>
      <c r="EF48" t="e">
        <f>AND(Birds!AN15,"AAAAAH1d94c=")</f>
        <v>#VALUE!</v>
      </c>
      <c r="EG48" t="e">
        <f>AND(Birds!AO15,"AAAAAH1d94g=")</f>
        <v>#VALUE!</v>
      </c>
      <c r="EH48" t="e">
        <f>AND(Birds!AP15,"AAAAAH1d94k=")</f>
        <v>#VALUE!</v>
      </c>
      <c r="EI48" t="e">
        <f>AND(Birds!AQ15,"AAAAAH1d94o=")</f>
        <v>#VALUE!</v>
      </c>
      <c r="EJ48" t="e">
        <f>AND(Birds!AR15,"AAAAAH1d94s=")</f>
        <v>#VALUE!</v>
      </c>
      <c r="EK48" t="e">
        <f>AND(Birds!AS15,"AAAAAH1d94w=")</f>
        <v>#VALUE!</v>
      </c>
      <c r="EL48" t="e">
        <f>AND(Birds!AT15,"AAAAAH1d940=")</f>
        <v>#VALUE!</v>
      </c>
      <c r="EM48" t="e">
        <f>AND(Birds!AU15,"AAAAAH1d944=")</f>
        <v>#VALUE!</v>
      </c>
      <c r="EN48" t="e">
        <f>AND(Birds!AV15,"AAAAAH1d948=")</f>
        <v>#VALUE!</v>
      </c>
      <c r="EO48" t="e">
        <f>AND(Birds!AW15,"AAAAAH1d95A=")</f>
        <v>#VALUE!</v>
      </c>
      <c r="EP48" t="e">
        <f>AND(Birds!AX15,"AAAAAH1d95E=")</f>
        <v>#VALUE!</v>
      </c>
      <c r="EQ48" t="e">
        <f>AND(Birds!AY15,"AAAAAH1d95I=")</f>
        <v>#VALUE!</v>
      </c>
      <c r="ER48" t="e">
        <f>AND(Birds!AZ15,"AAAAAH1d95M=")</f>
        <v>#VALUE!</v>
      </c>
      <c r="ES48" t="e">
        <f>AND(Birds!BA15,"AAAAAH1d95Q=")</f>
        <v>#VALUE!</v>
      </c>
      <c r="ET48" t="e">
        <f>AND(Birds!BB15,"AAAAAH1d95U=")</f>
        <v>#VALUE!</v>
      </c>
      <c r="EU48" t="e">
        <f>AND(Birds!BC15,"AAAAAH1d95Y=")</f>
        <v>#VALUE!</v>
      </c>
      <c r="EV48" t="e">
        <f>AND(Birds!BD15,"AAAAAH1d95c=")</f>
        <v>#VALUE!</v>
      </c>
      <c r="EW48" t="e">
        <f>AND(Birds!BE15,"AAAAAH1d95g=")</f>
        <v>#VALUE!</v>
      </c>
      <c r="EX48" t="e">
        <f>AND(Birds!BF15,"AAAAAH1d95k=")</f>
        <v>#VALUE!</v>
      </c>
      <c r="EY48" t="e">
        <f>AND(Birds!BG15,"AAAAAH1d95o=")</f>
        <v>#VALUE!</v>
      </c>
      <c r="EZ48" t="e">
        <f>AND(Birds!BH15,"AAAAAH1d95s=")</f>
        <v>#VALUE!</v>
      </c>
      <c r="FA48" t="e">
        <f>AND(Birds!BI15,"AAAAAH1d95w=")</f>
        <v>#VALUE!</v>
      </c>
      <c r="FB48" t="e">
        <f>AND(Birds!BJ15,"AAAAAH1d950=")</f>
        <v>#VALUE!</v>
      </c>
      <c r="FC48" t="e">
        <f>AND(Birds!BK15,"AAAAAH1d954=")</f>
        <v>#VALUE!</v>
      </c>
      <c r="FD48" t="e">
        <f>AND(Birds!BL15,"AAAAAH1d958=")</f>
        <v>#VALUE!</v>
      </c>
      <c r="FE48" t="e">
        <f>AND(Birds!BM15,"AAAAAH1d96A=")</f>
        <v>#VALUE!</v>
      </c>
      <c r="FF48" t="e">
        <f>AND(Birds!BN15,"AAAAAH1d96E=")</f>
        <v>#VALUE!</v>
      </c>
      <c r="FG48" t="e">
        <f>AND(Birds!BO15,"AAAAAH1d96I=")</f>
        <v>#VALUE!</v>
      </c>
      <c r="FH48" t="e">
        <f>AND(Birds!BP15,"AAAAAH1d96M=")</f>
        <v>#VALUE!</v>
      </c>
      <c r="FI48" t="e">
        <f>AND(Birds!BQ15,"AAAAAH1d96Q=")</f>
        <v>#VALUE!</v>
      </c>
      <c r="FJ48" t="e">
        <f>AND(Birds!BR15,"AAAAAH1d96U=")</f>
        <v>#VALUE!</v>
      </c>
      <c r="FK48" t="e">
        <f>AND(Birds!BS15,"AAAAAH1d96Y=")</f>
        <v>#VALUE!</v>
      </c>
      <c r="FL48" t="e">
        <f>AND(Birds!BT15,"AAAAAH1d96c=")</f>
        <v>#VALUE!</v>
      </c>
      <c r="FM48" t="e">
        <f>AND(Birds!BU15,"AAAAAH1d96g=")</f>
        <v>#VALUE!</v>
      </c>
      <c r="FN48" t="e">
        <f>AND(Birds!BV15,"AAAAAH1d96k=")</f>
        <v>#VALUE!</v>
      </c>
      <c r="FO48" t="e">
        <f>AND(Birds!BW15,"AAAAAH1d96o=")</f>
        <v>#VALUE!</v>
      </c>
      <c r="FP48" t="e">
        <f>AND(Birds!BX15,"AAAAAH1d96s=")</f>
        <v>#VALUE!</v>
      </c>
      <c r="FQ48" t="e">
        <f>AND(Birds!BY15,"AAAAAH1d96w=")</f>
        <v>#VALUE!</v>
      </c>
      <c r="FR48" t="e">
        <f>AND(Birds!BZ15,"AAAAAH1d960=")</f>
        <v>#VALUE!</v>
      </c>
      <c r="FS48" t="e">
        <f>AND(Birds!CA15,"AAAAAH1d964=")</f>
        <v>#VALUE!</v>
      </c>
      <c r="FT48" t="e">
        <f>AND(Birds!CB15,"AAAAAH1d968=")</f>
        <v>#VALUE!</v>
      </c>
      <c r="FU48" t="e">
        <f>AND(Birds!CC15,"AAAAAH1d97A=")</f>
        <v>#VALUE!</v>
      </c>
      <c r="FV48" t="e">
        <f>AND(Birds!CD15,"AAAAAH1d97E=")</f>
        <v>#VALUE!</v>
      </c>
      <c r="FW48" t="e">
        <f>AND(Birds!CE15,"AAAAAH1d97I=")</f>
        <v>#VALUE!</v>
      </c>
      <c r="FX48" t="e">
        <f>AND(Birds!CF15,"AAAAAH1d97M=")</f>
        <v>#VALUE!</v>
      </c>
      <c r="FY48" t="e">
        <f>AND(Birds!CG15,"AAAAAH1d97Q=")</f>
        <v>#VALUE!</v>
      </c>
      <c r="FZ48" t="e">
        <f>AND(Birds!CH15,"AAAAAH1d97U=")</f>
        <v>#VALUE!</v>
      </c>
      <c r="GA48" t="e">
        <f>AND(Birds!CI15,"AAAAAH1d97Y=")</f>
        <v>#VALUE!</v>
      </c>
      <c r="GB48" t="e">
        <f>AND(Birds!CJ15,"AAAAAH1d97c=")</f>
        <v>#VALUE!</v>
      </c>
      <c r="GC48" t="e">
        <f>AND(Birds!CK15,"AAAAAH1d97g=")</f>
        <v>#VALUE!</v>
      </c>
      <c r="GD48" t="e">
        <f>AND(Birds!CL15,"AAAAAH1d97k=")</f>
        <v>#VALUE!</v>
      </c>
      <c r="GE48" t="e">
        <f>AND(Birds!CM15,"AAAAAH1d97o=")</f>
        <v>#VALUE!</v>
      </c>
      <c r="GF48" t="e">
        <f>AND(Birds!CN15,"AAAAAH1d97s=")</f>
        <v>#VALUE!</v>
      </c>
      <c r="GG48" t="e">
        <f>AND(Birds!CO15,"AAAAAH1d97w=")</f>
        <v>#VALUE!</v>
      </c>
      <c r="GH48" t="e">
        <f>AND(Birds!CP15,"AAAAAH1d970=")</f>
        <v>#VALUE!</v>
      </c>
      <c r="GI48" t="e">
        <f>AND(Birds!CQ15,"AAAAAH1d974=")</f>
        <v>#VALUE!</v>
      </c>
      <c r="GJ48" t="e">
        <f>AND(Birds!CR15,"AAAAAH1d978=")</f>
        <v>#VALUE!</v>
      </c>
      <c r="GK48" t="e">
        <f>AND(Birds!CS15,"AAAAAH1d98A=")</f>
        <v>#VALUE!</v>
      </c>
      <c r="GL48" t="e">
        <f>AND(Birds!CT15,"AAAAAH1d98E=")</f>
        <v>#VALUE!</v>
      </c>
      <c r="GM48" t="e">
        <f>AND(Birds!CU15,"AAAAAH1d98I=")</f>
        <v>#VALUE!</v>
      </c>
      <c r="GN48" t="e">
        <f>AND(Birds!CV15,"AAAAAH1d98M=")</f>
        <v>#VALUE!</v>
      </c>
      <c r="GO48" t="e">
        <f>AND(Birds!CW15,"AAAAAH1d98Q=")</f>
        <v>#VALUE!</v>
      </c>
      <c r="GP48" t="e">
        <f>AND(Birds!CX15,"AAAAAH1d98U=")</f>
        <v>#VALUE!</v>
      </c>
      <c r="GQ48" t="e">
        <f>AND(Birds!CY15,"AAAAAH1d98Y=")</f>
        <v>#VALUE!</v>
      </c>
      <c r="GR48" t="e">
        <f>AND(Birds!CZ15,"AAAAAH1d98c=")</f>
        <v>#VALUE!</v>
      </c>
      <c r="GS48" t="e">
        <f>AND(Birds!DA15,"AAAAAH1d98g=")</f>
        <v>#VALUE!</v>
      </c>
      <c r="GT48" t="e">
        <f>AND(Birds!DB15,"AAAAAH1d98k=")</f>
        <v>#VALUE!</v>
      </c>
      <c r="GU48" t="e">
        <f>AND(Birds!DC15,"AAAAAH1d98o=")</f>
        <v>#VALUE!</v>
      </c>
      <c r="GV48" t="e">
        <f>AND(Birds!DD15,"AAAAAH1d98s=")</f>
        <v>#VALUE!</v>
      </c>
      <c r="GW48" t="e">
        <f>AND(Birds!DE15,"AAAAAH1d98w=")</f>
        <v>#VALUE!</v>
      </c>
      <c r="GX48" t="e">
        <f>AND(Birds!DF15,"AAAAAH1d980=")</f>
        <v>#VALUE!</v>
      </c>
      <c r="GY48" t="e">
        <f>AND(Birds!DG15,"AAAAAH1d984=")</f>
        <v>#VALUE!</v>
      </c>
      <c r="GZ48" t="e">
        <f>AND(Birds!DH15,"AAAAAH1d988=")</f>
        <v>#VALUE!</v>
      </c>
      <c r="HA48" t="e">
        <f>AND(Birds!DI15,"AAAAAH1d99A=")</f>
        <v>#VALUE!</v>
      </c>
      <c r="HB48" t="e">
        <f>AND(Birds!DJ15,"AAAAAH1d99E=")</f>
        <v>#VALUE!</v>
      </c>
      <c r="HC48" t="e">
        <f>AND(Birds!DK15,"AAAAAH1d99I=")</f>
        <v>#VALUE!</v>
      </c>
      <c r="HD48" t="e">
        <f>AND(Birds!DL15,"AAAAAH1d99M=")</f>
        <v>#VALUE!</v>
      </c>
      <c r="HE48" t="e">
        <f>AND(Birds!DM15,"AAAAAH1d99Q=")</f>
        <v>#VALUE!</v>
      </c>
      <c r="HF48" t="e">
        <f>AND(Birds!DN15,"AAAAAH1d99U=")</f>
        <v>#VALUE!</v>
      </c>
      <c r="HG48" t="e">
        <f>AND(Birds!DO15,"AAAAAH1d99Y=")</f>
        <v>#VALUE!</v>
      </c>
      <c r="HH48" t="e">
        <f>AND(Birds!DP15,"AAAAAH1d99c=")</f>
        <v>#VALUE!</v>
      </c>
      <c r="HI48" t="e">
        <f>AND(Birds!DQ15,"AAAAAH1d99g=")</f>
        <v>#VALUE!</v>
      </c>
      <c r="HJ48" t="e">
        <f>AND(Birds!DR15,"AAAAAH1d99k=")</f>
        <v>#VALUE!</v>
      </c>
      <c r="HK48" t="e">
        <f>AND(Birds!DS15,"AAAAAH1d99o=")</f>
        <v>#VALUE!</v>
      </c>
      <c r="HL48" t="e">
        <f>AND(Birds!DT15,"AAAAAH1d99s=")</f>
        <v>#VALUE!</v>
      </c>
      <c r="HM48" t="e">
        <f>AND(Birds!DU15,"AAAAAH1d99w=")</f>
        <v>#VALUE!</v>
      </c>
      <c r="HN48" t="e">
        <f>AND(Birds!DV15,"AAAAAH1d990=")</f>
        <v>#VALUE!</v>
      </c>
      <c r="HO48" t="e">
        <f>AND(Birds!DW15,"AAAAAH1d994=")</f>
        <v>#VALUE!</v>
      </c>
      <c r="HP48" t="e">
        <f>AND(Birds!DX15,"AAAAAH1d998=")</f>
        <v>#VALUE!</v>
      </c>
      <c r="HQ48" t="e">
        <f>AND(Birds!DY15,"AAAAAH1d9+A=")</f>
        <v>#VALUE!</v>
      </c>
      <c r="HR48" t="e">
        <f>AND(Birds!DZ15,"AAAAAH1d9+E=")</f>
        <v>#VALUE!</v>
      </c>
      <c r="HS48" t="e">
        <f>AND(Birds!EA15,"AAAAAH1d9+I=")</f>
        <v>#VALUE!</v>
      </c>
      <c r="HT48" t="e">
        <f>AND(Birds!EB15,"AAAAAH1d9+M=")</f>
        <v>#VALUE!</v>
      </c>
      <c r="HU48" t="e">
        <f>AND(Birds!EC15,"AAAAAH1d9+Q=")</f>
        <v>#VALUE!</v>
      </c>
      <c r="HV48" t="e">
        <f>AND(Birds!ED15,"AAAAAH1d9+U=")</f>
        <v>#VALUE!</v>
      </c>
      <c r="HW48" t="e">
        <f>AND(Birds!EE15,"AAAAAH1d9+Y=")</f>
        <v>#VALUE!</v>
      </c>
      <c r="HX48" t="e">
        <f>AND(Birds!EF15,"AAAAAH1d9+c=")</f>
        <v>#VALUE!</v>
      </c>
      <c r="HY48" t="e">
        <f>AND(Birds!EG15,"AAAAAH1d9+g=")</f>
        <v>#VALUE!</v>
      </c>
      <c r="HZ48" t="e">
        <f>AND(Birds!EH15,"AAAAAH1d9+k=")</f>
        <v>#VALUE!</v>
      </c>
      <c r="IA48" t="e">
        <f>AND(Birds!EI15,"AAAAAH1d9+o=")</f>
        <v>#VALUE!</v>
      </c>
      <c r="IB48" t="e">
        <f>AND(Birds!EJ15,"AAAAAH1d9+s=")</f>
        <v>#VALUE!</v>
      </c>
      <c r="IC48" t="e">
        <f>AND(Birds!EK15,"AAAAAH1d9+w=")</f>
        <v>#VALUE!</v>
      </c>
      <c r="ID48" t="e">
        <f>AND(Birds!EL15,"AAAAAH1d9+0=")</f>
        <v>#VALUE!</v>
      </c>
      <c r="IE48" t="e">
        <f>AND(Birds!EM15,"AAAAAH1d9+4=")</f>
        <v>#VALUE!</v>
      </c>
      <c r="IF48" t="e">
        <f>AND(Birds!EN15,"AAAAAH1d9+8=")</f>
        <v>#VALUE!</v>
      </c>
      <c r="IG48" t="e">
        <f>AND(Birds!EO15,"AAAAAH1d9/A=")</f>
        <v>#VALUE!</v>
      </c>
      <c r="IH48" t="e">
        <f>AND(Birds!EP15,"AAAAAH1d9/E=")</f>
        <v>#VALUE!</v>
      </c>
      <c r="II48" t="e">
        <f>AND(Birds!EQ15,"AAAAAH1d9/I=")</f>
        <v>#VALUE!</v>
      </c>
      <c r="IJ48" t="e">
        <f>AND(Birds!ER15,"AAAAAH1d9/M=")</f>
        <v>#VALUE!</v>
      </c>
      <c r="IK48" t="e">
        <f>AND(Birds!ES15,"AAAAAH1d9/Q=")</f>
        <v>#VALUE!</v>
      </c>
      <c r="IL48" t="e">
        <f>AND(Birds!ET15,"AAAAAH1d9/U=")</f>
        <v>#VALUE!</v>
      </c>
      <c r="IM48" t="e">
        <f>AND(Birds!EU15,"AAAAAH1d9/Y=")</f>
        <v>#VALUE!</v>
      </c>
      <c r="IN48" t="e">
        <f>AND(Birds!EV15,"AAAAAH1d9/c=")</f>
        <v>#VALUE!</v>
      </c>
      <c r="IO48" t="e">
        <f>AND(Birds!EW15,"AAAAAH1d9/g=")</f>
        <v>#VALUE!</v>
      </c>
      <c r="IP48" t="e">
        <f>AND(Birds!EX15,"AAAAAH1d9/k=")</f>
        <v>#VALUE!</v>
      </c>
      <c r="IQ48" t="e">
        <f>AND(Birds!EY15,"AAAAAH1d9/o=")</f>
        <v>#VALUE!</v>
      </c>
      <c r="IR48" t="e">
        <f>AND(Birds!EZ15,"AAAAAH1d9/s=")</f>
        <v>#VALUE!</v>
      </c>
      <c r="IS48" t="e">
        <f>AND(Birds!FA15,"AAAAAH1d9/w=")</f>
        <v>#VALUE!</v>
      </c>
      <c r="IT48" t="e">
        <f>AND(Birds!FB15,"AAAAAH1d9/0=")</f>
        <v>#VALUE!</v>
      </c>
      <c r="IU48" t="e">
        <f>AND(Birds!FC15,"AAAAAH1d9/4=")</f>
        <v>#VALUE!</v>
      </c>
      <c r="IV48" t="e">
        <f>AND(Birds!FD15,"AAAAAH1d9/8=")</f>
        <v>#VALUE!</v>
      </c>
    </row>
    <row r="49" spans="1:256">
      <c r="A49" t="e">
        <f>AND(Birds!FE15,"AAAAAH37/QA=")</f>
        <v>#VALUE!</v>
      </c>
      <c r="B49" t="e">
        <f>AND(Birds!FF15,"AAAAAH37/QE=")</f>
        <v>#VALUE!</v>
      </c>
      <c r="C49" t="e">
        <f>AND(Birds!FG15,"AAAAAH37/QI=")</f>
        <v>#VALUE!</v>
      </c>
      <c r="D49" t="e">
        <f>AND(Birds!FH15,"AAAAAH37/QM=")</f>
        <v>#VALUE!</v>
      </c>
      <c r="E49" t="e">
        <f>AND(Birds!FI15,"AAAAAH37/QQ=")</f>
        <v>#VALUE!</v>
      </c>
      <c r="F49" t="e">
        <f>AND(Birds!FJ15,"AAAAAH37/QU=")</f>
        <v>#VALUE!</v>
      </c>
      <c r="G49" t="e">
        <f>AND(Birds!FK15,"AAAAAH37/QY=")</f>
        <v>#VALUE!</v>
      </c>
      <c r="H49" t="e">
        <f>AND(Birds!FL15,"AAAAAH37/Qc=")</f>
        <v>#VALUE!</v>
      </c>
      <c r="I49" t="e">
        <f>AND(Birds!FM15,"AAAAAH37/Qg=")</f>
        <v>#VALUE!</v>
      </c>
      <c r="J49" t="e">
        <f>AND(Birds!FN15,"AAAAAH37/Qk=")</f>
        <v>#VALUE!</v>
      </c>
      <c r="K49" t="e">
        <f>AND(Birds!FO15,"AAAAAH37/Qo=")</f>
        <v>#VALUE!</v>
      </c>
      <c r="L49" t="e">
        <f>AND(Birds!FP15,"AAAAAH37/Qs=")</f>
        <v>#VALUE!</v>
      </c>
      <c r="M49" t="e">
        <f>AND(Birds!FQ15,"AAAAAH37/Qw=")</f>
        <v>#VALUE!</v>
      </c>
      <c r="N49" t="e">
        <f>AND(Birds!FR15,"AAAAAH37/Q0=")</f>
        <v>#VALUE!</v>
      </c>
      <c r="O49" t="e">
        <f>AND(Birds!FS15,"AAAAAH37/Q4=")</f>
        <v>#VALUE!</v>
      </c>
      <c r="P49" t="e">
        <f>AND(Birds!FT15,"AAAAAH37/Q8=")</f>
        <v>#VALUE!</v>
      </c>
      <c r="Q49" t="e">
        <f>AND(Birds!FU15,"AAAAAH37/RA=")</f>
        <v>#VALUE!</v>
      </c>
      <c r="R49" t="e">
        <f>AND(Birds!FV15,"AAAAAH37/RE=")</f>
        <v>#VALUE!</v>
      </c>
      <c r="S49" t="e">
        <f>AND(Birds!FW15,"AAAAAH37/RI=")</f>
        <v>#VALUE!</v>
      </c>
      <c r="T49" t="e">
        <f>AND(Birds!FX15,"AAAAAH37/RM=")</f>
        <v>#VALUE!</v>
      </c>
      <c r="U49" t="e">
        <f>AND(Birds!FY15,"AAAAAH37/RQ=")</f>
        <v>#VALUE!</v>
      </c>
      <c r="V49" t="e">
        <f>AND(Birds!FZ15,"AAAAAH37/RU=")</f>
        <v>#VALUE!</v>
      </c>
      <c r="W49" t="e">
        <f>AND(Birds!GA15,"AAAAAH37/RY=")</f>
        <v>#VALUE!</v>
      </c>
      <c r="X49" t="e">
        <f>AND(Birds!GB15,"AAAAAH37/Rc=")</f>
        <v>#VALUE!</v>
      </c>
      <c r="Y49" t="e">
        <f>AND(Birds!GC15,"AAAAAH37/Rg=")</f>
        <v>#VALUE!</v>
      </c>
      <c r="Z49" t="e">
        <f>AND(Birds!GD15,"AAAAAH37/Rk=")</f>
        <v>#VALUE!</v>
      </c>
      <c r="AA49" t="e">
        <f>AND(Birds!GE15,"AAAAAH37/Ro=")</f>
        <v>#VALUE!</v>
      </c>
      <c r="AB49" t="e">
        <f>AND(Birds!GF15,"AAAAAH37/Rs=")</f>
        <v>#VALUE!</v>
      </c>
      <c r="AC49" t="e">
        <f>AND(Birds!GG15,"AAAAAH37/Rw=")</f>
        <v>#VALUE!</v>
      </c>
      <c r="AD49" t="e">
        <f>AND(Birds!GH15,"AAAAAH37/R0=")</f>
        <v>#VALUE!</v>
      </c>
      <c r="AE49" t="e">
        <f>AND(Birds!GI15,"AAAAAH37/R4=")</f>
        <v>#VALUE!</v>
      </c>
      <c r="AF49" t="e">
        <f>AND(Birds!GJ15,"AAAAAH37/R8=")</f>
        <v>#VALUE!</v>
      </c>
      <c r="AG49" t="e">
        <f>AND(Birds!GK15,"AAAAAH37/SA=")</f>
        <v>#VALUE!</v>
      </c>
      <c r="AH49" t="e">
        <f>AND(Birds!GL15,"AAAAAH37/SE=")</f>
        <v>#VALUE!</v>
      </c>
      <c r="AI49" t="e">
        <f>AND(Birds!GM15,"AAAAAH37/SI=")</f>
        <v>#VALUE!</v>
      </c>
      <c r="AJ49">
        <f>IF(Birds!16:16,"AAAAAH37/SM=",0)</f>
        <v>0</v>
      </c>
      <c r="AK49" t="e">
        <f>AND(Birds!A16,"AAAAAH37/SQ=")</f>
        <v>#VALUE!</v>
      </c>
      <c r="AL49" t="e">
        <f>AND(Birds!B16,"AAAAAH37/SU=")</f>
        <v>#VALUE!</v>
      </c>
      <c r="AM49" t="e">
        <f>AND(Birds!C16,"AAAAAH37/SY=")</f>
        <v>#VALUE!</v>
      </c>
      <c r="AN49" t="e">
        <f>AND(Birds!D16,"AAAAAH37/Sc=")</f>
        <v>#VALUE!</v>
      </c>
      <c r="AO49" t="e">
        <f>AND(Birds!E16,"AAAAAH37/Sg=")</f>
        <v>#VALUE!</v>
      </c>
      <c r="AP49" t="e">
        <f>AND(Birds!F16,"AAAAAH37/Sk=")</f>
        <v>#VALUE!</v>
      </c>
      <c r="AQ49" t="e">
        <f>AND(Birds!G16,"AAAAAH37/So=")</f>
        <v>#VALUE!</v>
      </c>
      <c r="AR49" t="e">
        <f>AND(Birds!H16,"AAAAAH37/Ss=")</f>
        <v>#VALUE!</v>
      </c>
      <c r="AS49" t="e">
        <f>AND(Birds!I16,"AAAAAH37/Sw=")</f>
        <v>#VALUE!</v>
      </c>
      <c r="AT49" t="e">
        <f>AND(Birds!J16,"AAAAAH37/S0=")</f>
        <v>#VALUE!</v>
      </c>
      <c r="AU49" t="e">
        <f>AND(Birds!K16,"AAAAAH37/S4=")</f>
        <v>#VALUE!</v>
      </c>
      <c r="AV49" t="e">
        <f>AND(Birds!L16,"AAAAAH37/S8=")</f>
        <v>#VALUE!</v>
      </c>
      <c r="AW49" t="e">
        <f>AND(Birds!M16,"AAAAAH37/TA=")</f>
        <v>#VALUE!</v>
      </c>
      <c r="AX49" t="e">
        <f>AND(Birds!N16,"AAAAAH37/TE=")</f>
        <v>#VALUE!</v>
      </c>
      <c r="AY49" t="e">
        <f>AND(Birds!O16,"AAAAAH37/TI=")</f>
        <v>#VALUE!</v>
      </c>
      <c r="AZ49" t="e">
        <f>AND(Birds!P16,"AAAAAH37/TM=")</f>
        <v>#VALUE!</v>
      </c>
      <c r="BA49" t="e">
        <f>AND(Birds!Q16,"AAAAAH37/TQ=")</f>
        <v>#VALUE!</v>
      </c>
      <c r="BB49" t="e">
        <f>AND(Birds!R16,"AAAAAH37/TU=")</f>
        <v>#VALUE!</v>
      </c>
      <c r="BC49" t="e">
        <f>AND(Birds!S16,"AAAAAH37/TY=")</f>
        <v>#VALUE!</v>
      </c>
      <c r="BD49" t="e">
        <f>AND(Birds!T16,"AAAAAH37/Tc=")</f>
        <v>#VALUE!</v>
      </c>
      <c r="BE49" t="e">
        <f>AND(Birds!U16,"AAAAAH37/Tg=")</f>
        <v>#VALUE!</v>
      </c>
      <c r="BF49" t="e">
        <f>AND(Birds!V16,"AAAAAH37/Tk=")</f>
        <v>#VALUE!</v>
      </c>
      <c r="BG49" t="e">
        <f>AND(Birds!W16,"AAAAAH37/To=")</f>
        <v>#VALUE!</v>
      </c>
      <c r="BH49" t="e">
        <f>AND(Birds!X16,"AAAAAH37/Ts=")</f>
        <v>#VALUE!</v>
      </c>
      <c r="BI49" t="e">
        <f>AND(Birds!Y16,"AAAAAH37/Tw=")</f>
        <v>#VALUE!</v>
      </c>
      <c r="BJ49" t="e">
        <f>AND(Birds!Z16,"AAAAAH37/T0=")</f>
        <v>#VALUE!</v>
      </c>
      <c r="BK49" t="e">
        <f>AND(Birds!AA16,"AAAAAH37/T4=")</f>
        <v>#VALUE!</v>
      </c>
      <c r="BL49" t="e">
        <f>AND(Birds!AB16,"AAAAAH37/T8=")</f>
        <v>#VALUE!</v>
      </c>
      <c r="BM49" t="e">
        <f>AND(Birds!AC16,"AAAAAH37/UA=")</f>
        <v>#VALUE!</v>
      </c>
      <c r="BN49" t="e">
        <f>AND(Birds!AD16,"AAAAAH37/UE=")</f>
        <v>#VALUE!</v>
      </c>
      <c r="BO49" t="e">
        <f>AND(Birds!AE16,"AAAAAH37/UI=")</f>
        <v>#VALUE!</v>
      </c>
      <c r="BP49" t="e">
        <f>AND(Birds!AF16,"AAAAAH37/UM=")</f>
        <v>#VALUE!</v>
      </c>
      <c r="BQ49" t="e">
        <f>AND(Birds!AG16,"AAAAAH37/UQ=")</f>
        <v>#VALUE!</v>
      </c>
      <c r="BR49" t="e">
        <f>AND(Birds!AH16,"AAAAAH37/UU=")</f>
        <v>#VALUE!</v>
      </c>
      <c r="BS49" t="e">
        <f>AND(Birds!AI16,"AAAAAH37/UY=")</f>
        <v>#VALUE!</v>
      </c>
      <c r="BT49" t="e">
        <f>AND(Birds!AJ16,"AAAAAH37/Uc=")</f>
        <v>#VALUE!</v>
      </c>
      <c r="BU49" t="e">
        <f>AND(Birds!AK16,"AAAAAH37/Ug=")</f>
        <v>#VALUE!</v>
      </c>
      <c r="BV49" t="e">
        <f>AND(Birds!AL16,"AAAAAH37/Uk=")</f>
        <v>#VALUE!</v>
      </c>
      <c r="BW49" t="e">
        <f>AND(Birds!AM16,"AAAAAH37/Uo=")</f>
        <v>#VALUE!</v>
      </c>
      <c r="BX49" t="e">
        <f>AND(Birds!AN16,"AAAAAH37/Us=")</f>
        <v>#VALUE!</v>
      </c>
      <c r="BY49" t="e">
        <f>AND(Birds!AO16,"AAAAAH37/Uw=")</f>
        <v>#VALUE!</v>
      </c>
      <c r="BZ49" t="e">
        <f>AND(Birds!AP16,"AAAAAH37/U0=")</f>
        <v>#VALUE!</v>
      </c>
      <c r="CA49" t="e">
        <f>AND(Birds!AQ16,"AAAAAH37/U4=")</f>
        <v>#VALUE!</v>
      </c>
      <c r="CB49" t="e">
        <f>AND(Birds!AR16,"AAAAAH37/U8=")</f>
        <v>#VALUE!</v>
      </c>
      <c r="CC49" t="e">
        <f>AND(Birds!AS16,"AAAAAH37/VA=")</f>
        <v>#VALUE!</v>
      </c>
      <c r="CD49" t="e">
        <f>AND(Birds!AT16,"AAAAAH37/VE=")</f>
        <v>#VALUE!</v>
      </c>
      <c r="CE49" t="e">
        <f>AND(Birds!AU16,"AAAAAH37/VI=")</f>
        <v>#VALUE!</v>
      </c>
      <c r="CF49" t="e">
        <f>AND(Birds!AV16,"AAAAAH37/VM=")</f>
        <v>#VALUE!</v>
      </c>
      <c r="CG49" t="e">
        <f>AND(Birds!AW16,"AAAAAH37/VQ=")</f>
        <v>#VALUE!</v>
      </c>
      <c r="CH49" t="e">
        <f>AND(Birds!AX16,"AAAAAH37/VU=")</f>
        <v>#VALUE!</v>
      </c>
      <c r="CI49" t="e">
        <f>AND(Birds!AY16,"AAAAAH37/VY=")</f>
        <v>#VALUE!</v>
      </c>
      <c r="CJ49" t="e">
        <f>AND(Birds!AZ16,"AAAAAH37/Vc=")</f>
        <v>#VALUE!</v>
      </c>
      <c r="CK49" t="e">
        <f>AND(Birds!BA16,"AAAAAH37/Vg=")</f>
        <v>#VALUE!</v>
      </c>
      <c r="CL49" t="e">
        <f>AND(Birds!BB16,"AAAAAH37/Vk=")</f>
        <v>#VALUE!</v>
      </c>
      <c r="CM49" t="e">
        <f>AND(Birds!BC16,"AAAAAH37/Vo=")</f>
        <v>#VALUE!</v>
      </c>
      <c r="CN49" t="e">
        <f>AND(Birds!BD16,"AAAAAH37/Vs=")</f>
        <v>#VALUE!</v>
      </c>
      <c r="CO49" t="e">
        <f>AND(Birds!BE16,"AAAAAH37/Vw=")</f>
        <v>#VALUE!</v>
      </c>
      <c r="CP49" t="e">
        <f>AND(Birds!BF16,"AAAAAH37/V0=")</f>
        <v>#VALUE!</v>
      </c>
      <c r="CQ49" t="e">
        <f>AND(Birds!BG16,"AAAAAH37/V4=")</f>
        <v>#VALUE!</v>
      </c>
      <c r="CR49" t="e">
        <f>AND(Birds!BH16,"AAAAAH37/V8=")</f>
        <v>#VALUE!</v>
      </c>
      <c r="CS49" t="e">
        <f>AND(Birds!BI16,"AAAAAH37/WA=")</f>
        <v>#VALUE!</v>
      </c>
      <c r="CT49" t="e">
        <f>AND(Birds!BJ16,"AAAAAH37/WE=")</f>
        <v>#VALUE!</v>
      </c>
      <c r="CU49" t="e">
        <f>AND(Birds!BK16,"AAAAAH37/WI=")</f>
        <v>#VALUE!</v>
      </c>
      <c r="CV49" t="e">
        <f>AND(Birds!BL16,"AAAAAH37/WM=")</f>
        <v>#VALUE!</v>
      </c>
      <c r="CW49" t="e">
        <f>AND(Birds!BM16,"AAAAAH37/WQ=")</f>
        <v>#VALUE!</v>
      </c>
      <c r="CX49" t="e">
        <f>AND(Birds!BN16,"AAAAAH37/WU=")</f>
        <v>#VALUE!</v>
      </c>
      <c r="CY49" t="e">
        <f>AND(Birds!BO16,"AAAAAH37/WY=")</f>
        <v>#VALUE!</v>
      </c>
      <c r="CZ49" t="e">
        <f>AND(Birds!BP16,"AAAAAH37/Wc=")</f>
        <v>#VALUE!</v>
      </c>
      <c r="DA49" t="e">
        <f>AND(Birds!BQ16,"AAAAAH37/Wg=")</f>
        <v>#VALUE!</v>
      </c>
      <c r="DB49" t="e">
        <f>AND(Birds!BR16,"AAAAAH37/Wk=")</f>
        <v>#VALUE!</v>
      </c>
      <c r="DC49" t="e">
        <f>AND(Birds!BS16,"AAAAAH37/Wo=")</f>
        <v>#VALUE!</v>
      </c>
      <c r="DD49" t="e">
        <f>AND(Birds!BT16,"AAAAAH37/Ws=")</f>
        <v>#VALUE!</v>
      </c>
      <c r="DE49" t="e">
        <f>AND(Birds!BU16,"AAAAAH37/Ww=")</f>
        <v>#VALUE!</v>
      </c>
      <c r="DF49" t="e">
        <f>AND(Birds!BV16,"AAAAAH37/W0=")</f>
        <v>#VALUE!</v>
      </c>
      <c r="DG49" t="e">
        <f>AND(Birds!BW16,"AAAAAH37/W4=")</f>
        <v>#VALUE!</v>
      </c>
      <c r="DH49" t="e">
        <f>AND(Birds!BX16,"AAAAAH37/W8=")</f>
        <v>#VALUE!</v>
      </c>
      <c r="DI49" t="e">
        <f>AND(Birds!BY16,"AAAAAH37/XA=")</f>
        <v>#VALUE!</v>
      </c>
      <c r="DJ49" t="e">
        <f>AND(Birds!BZ16,"AAAAAH37/XE=")</f>
        <v>#VALUE!</v>
      </c>
      <c r="DK49" t="e">
        <f>AND(Birds!CA16,"AAAAAH37/XI=")</f>
        <v>#VALUE!</v>
      </c>
      <c r="DL49" t="e">
        <f>AND(Birds!CB16,"AAAAAH37/XM=")</f>
        <v>#VALUE!</v>
      </c>
      <c r="DM49" t="e">
        <f>AND(Birds!CC16,"AAAAAH37/XQ=")</f>
        <v>#VALUE!</v>
      </c>
      <c r="DN49" t="e">
        <f>AND(Birds!CD16,"AAAAAH37/XU=")</f>
        <v>#VALUE!</v>
      </c>
      <c r="DO49" t="e">
        <f>AND(Birds!CE16,"AAAAAH37/XY=")</f>
        <v>#VALUE!</v>
      </c>
      <c r="DP49" t="e">
        <f>AND(Birds!CF16,"AAAAAH37/Xc=")</f>
        <v>#VALUE!</v>
      </c>
      <c r="DQ49" t="e">
        <f>AND(Birds!CG16,"AAAAAH37/Xg=")</f>
        <v>#VALUE!</v>
      </c>
      <c r="DR49" t="e">
        <f>AND(Birds!CH16,"AAAAAH37/Xk=")</f>
        <v>#VALUE!</v>
      </c>
      <c r="DS49" t="e">
        <f>AND(Birds!CI16,"AAAAAH37/Xo=")</f>
        <v>#VALUE!</v>
      </c>
      <c r="DT49" t="e">
        <f>AND(Birds!CJ16,"AAAAAH37/Xs=")</f>
        <v>#VALUE!</v>
      </c>
      <c r="DU49" t="e">
        <f>AND(Birds!CK16,"AAAAAH37/Xw=")</f>
        <v>#VALUE!</v>
      </c>
      <c r="DV49" t="e">
        <f>AND(Birds!CL16,"AAAAAH37/X0=")</f>
        <v>#VALUE!</v>
      </c>
      <c r="DW49" t="e">
        <f>AND(Birds!CM16,"AAAAAH37/X4=")</f>
        <v>#VALUE!</v>
      </c>
      <c r="DX49" t="e">
        <f>AND(Birds!CN16,"AAAAAH37/X8=")</f>
        <v>#VALUE!</v>
      </c>
      <c r="DY49" t="e">
        <f>AND(Birds!CO16,"AAAAAH37/YA=")</f>
        <v>#VALUE!</v>
      </c>
      <c r="DZ49" t="e">
        <f>AND(Birds!CP16,"AAAAAH37/YE=")</f>
        <v>#VALUE!</v>
      </c>
      <c r="EA49" t="e">
        <f>AND(Birds!CQ16,"AAAAAH37/YI=")</f>
        <v>#VALUE!</v>
      </c>
      <c r="EB49" t="e">
        <f>AND(Birds!CR16,"AAAAAH37/YM=")</f>
        <v>#VALUE!</v>
      </c>
      <c r="EC49" t="e">
        <f>AND(Birds!CS16,"AAAAAH37/YQ=")</f>
        <v>#VALUE!</v>
      </c>
      <c r="ED49" t="e">
        <f>AND(Birds!CT16,"AAAAAH37/YU=")</f>
        <v>#VALUE!</v>
      </c>
      <c r="EE49" t="e">
        <f>AND(Birds!CU16,"AAAAAH37/YY=")</f>
        <v>#VALUE!</v>
      </c>
      <c r="EF49" t="e">
        <f>AND(Birds!CV16,"AAAAAH37/Yc=")</f>
        <v>#VALUE!</v>
      </c>
      <c r="EG49" t="e">
        <f>AND(Birds!CW16,"AAAAAH37/Yg=")</f>
        <v>#VALUE!</v>
      </c>
      <c r="EH49" t="e">
        <f>AND(Birds!CX16,"AAAAAH37/Yk=")</f>
        <v>#VALUE!</v>
      </c>
      <c r="EI49" t="e">
        <f>AND(Birds!CY16,"AAAAAH37/Yo=")</f>
        <v>#VALUE!</v>
      </c>
      <c r="EJ49" t="e">
        <f>AND(Birds!CZ16,"AAAAAH37/Ys=")</f>
        <v>#VALUE!</v>
      </c>
      <c r="EK49" t="e">
        <f>AND(Birds!DA16,"AAAAAH37/Yw=")</f>
        <v>#VALUE!</v>
      </c>
      <c r="EL49" t="e">
        <f>AND(Birds!DB16,"AAAAAH37/Y0=")</f>
        <v>#VALUE!</v>
      </c>
      <c r="EM49" t="e">
        <f>AND(Birds!DC16,"AAAAAH37/Y4=")</f>
        <v>#VALUE!</v>
      </c>
      <c r="EN49" t="e">
        <f>AND(Birds!DD16,"AAAAAH37/Y8=")</f>
        <v>#VALUE!</v>
      </c>
      <c r="EO49" t="e">
        <f>AND(Birds!DE16,"AAAAAH37/ZA=")</f>
        <v>#VALUE!</v>
      </c>
      <c r="EP49" t="e">
        <f>AND(Birds!DF16,"AAAAAH37/ZE=")</f>
        <v>#VALUE!</v>
      </c>
      <c r="EQ49" t="e">
        <f>AND(Birds!DG16,"AAAAAH37/ZI=")</f>
        <v>#VALUE!</v>
      </c>
      <c r="ER49" t="e">
        <f>AND(Birds!DH16,"AAAAAH37/ZM=")</f>
        <v>#VALUE!</v>
      </c>
      <c r="ES49" t="e">
        <f>AND(Birds!DI16,"AAAAAH37/ZQ=")</f>
        <v>#VALUE!</v>
      </c>
      <c r="ET49" t="e">
        <f>AND(Birds!DJ16,"AAAAAH37/ZU=")</f>
        <v>#VALUE!</v>
      </c>
      <c r="EU49" t="e">
        <f>AND(Birds!DK16,"AAAAAH37/ZY=")</f>
        <v>#VALUE!</v>
      </c>
      <c r="EV49" t="e">
        <f>AND(Birds!DL16,"AAAAAH37/Zc=")</f>
        <v>#VALUE!</v>
      </c>
      <c r="EW49" t="e">
        <f>AND(Birds!DM16,"AAAAAH37/Zg=")</f>
        <v>#VALUE!</v>
      </c>
      <c r="EX49" t="e">
        <f>AND(Birds!DN16,"AAAAAH37/Zk=")</f>
        <v>#VALUE!</v>
      </c>
      <c r="EY49" t="e">
        <f>AND(Birds!DO16,"AAAAAH37/Zo=")</f>
        <v>#VALUE!</v>
      </c>
      <c r="EZ49" t="e">
        <f>AND(Birds!DP16,"AAAAAH37/Zs=")</f>
        <v>#VALUE!</v>
      </c>
      <c r="FA49" t="e">
        <f>AND(Birds!DQ16,"AAAAAH37/Zw=")</f>
        <v>#VALUE!</v>
      </c>
      <c r="FB49" t="e">
        <f>AND(Birds!DR16,"AAAAAH37/Z0=")</f>
        <v>#VALUE!</v>
      </c>
      <c r="FC49" t="e">
        <f>AND(Birds!DS16,"AAAAAH37/Z4=")</f>
        <v>#VALUE!</v>
      </c>
      <c r="FD49" t="e">
        <f>AND(Birds!DT16,"AAAAAH37/Z8=")</f>
        <v>#VALUE!</v>
      </c>
      <c r="FE49" t="e">
        <f>AND(Birds!DU16,"AAAAAH37/aA=")</f>
        <v>#VALUE!</v>
      </c>
      <c r="FF49" t="e">
        <f>AND(Birds!DV16,"AAAAAH37/aE=")</f>
        <v>#VALUE!</v>
      </c>
      <c r="FG49" t="e">
        <f>AND(Birds!DW16,"AAAAAH37/aI=")</f>
        <v>#VALUE!</v>
      </c>
      <c r="FH49" t="e">
        <f>AND(Birds!DX16,"AAAAAH37/aM=")</f>
        <v>#VALUE!</v>
      </c>
      <c r="FI49" t="e">
        <f>AND(Birds!DY16,"AAAAAH37/aQ=")</f>
        <v>#VALUE!</v>
      </c>
      <c r="FJ49" t="e">
        <f>AND(Birds!DZ16,"AAAAAH37/aU=")</f>
        <v>#VALUE!</v>
      </c>
      <c r="FK49" t="e">
        <f>AND(Birds!EA16,"AAAAAH37/aY=")</f>
        <v>#VALUE!</v>
      </c>
      <c r="FL49" t="e">
        <f>AND(Birds!EB16,"AAAAAH37/ac=")</f>
        <v>#VALUE!</v>
      </c>
      <c r="FM49" t="e">
        <f>AND(Birds!EC16,"AAAAAH37/ag=")</f>
        <v>#VALUE!</v>
      </c>
      <c r="FN49" t="e">
        <f>AND(Birds!ED16,"AAAAAH37/ak=")</f>
        <v>#VALUE!</v>
      </c>
      <c r="FO49" t="e">
        <f>AND(Birds!EE16,"AAAAAH37/ao=")</f>
        <v>#VALUE!</v>
      </c>
      <c r="FP49" t="e">
        <f>AND(Birds!EF16,"AAAAAH37/as=")</f>
        <v>#VALUE!</v>
      </c>
      <c r="FQ49" t="e">
        <f>AND(Birds!EG16,"AAAAAH37/aw=")</f>
        <v>#VALUE!</v>
      </c>
      <c r="FR49" t="e">
        <f>AND(Birds!EH16,"AAAAAH37/a0=")</f>
        <v>#VALUE!</v>
      </c>
      <c r="FS49" t="e">
        <f>AND(Birds!EI16,"AAAAAH37/a4=")</f>
        <v>#VALUE!</v>
      </c>
      <c r="FT49" t="e">
        <f>AND(Birds!EJ16,"AAAAAH37/a8=")</f>
        <v>#VALUE!</v>
      </c>
      <c r="FU49" t="e">
        <f>AND(Birds!EK16,"AAAAAH37/bA=")</f>
        <v>#VALUE!</v>
      </c>
      <c r="FV49" t="e">
        <f>AND(Birds!EL16,"AAAAAH37/bE=")</f>
        <v>#VALUE!</v>
      </c>
      <c r="FW49" t="e">
        <f>AND(Birds!EM16,"AAAAAH37/bI=")</f>
        <v>#VALUE!</v>
      </c>
      <c r="FX49" t="e">
        <f>AND(Birds!EN16,"AAAAAH37/bM=")</f>
        <v>#VALUE!</v>
      </c>
      <c r="FY49" t="e">
        <f>AND(Birds!EO16,"AAAAAH37/bQ=")</f>
        <v>#VALUE!</v>
      </c>
      <c r="FZ49" t="e">
        <f>AND(Birds!EP16,"AAAAAH37/bU=")</f>
        <v>#VALUE!</v>
      </c>
      <c r="GA49" t="e">
        <f>AND(Birds!EQ16,"AAAAAH37/bY=")</f>
        <v>#VALUE!</v>
      </c>
      <c r="GB49" t="e">
        <f>AND(Birds!ER16,"AAAAAH37/bc=")</f>
        <v>#VALUE!</v>
      </c>
      <c r="GC49" t="e">
        <f>AND(Birds!ES16,"AAAAAH37/bg=")</f>
        <v>#VALUE!</v>
      </c>
      <c r="GD49" t="e">
        <f>AND(Birds!ET16,"AAAAAH37/bk=")</f>
        <v>#VALUE!</v>
      </c>
      <c r="GE49" t="e">
        <f>AND(Birds!EU16,"AAAAAH37/bo=")</f>
        <v>#VALUE!</v>
      </c>
      <c r="GF49" t="e">
        <f>AND(Birds!EV16,"AAAAAH37/bs=")</f>
        <v>#VALUE!</v>
      </c>
      <c r="GG49" t="e">
        <f>AND(Birds!EW16,"AAAAAH37/bw=")</f>
        <v>#VALUE!</v>
      </c>
      <c r="GH49" t="e">
        <f>AND(Birds!EX16,"AAAAAH37/b0=")</f>
        <v>#VALUE!</v>
      </c>
      <c r="GI49" t="e">
        <f>AND(Birds!EY16,"AAAAAH37/b4=")</f>
        <v>#VALUE!</v>
      </c>
      <c r="GJ49" t="e">
        <f>AND(Birds!EZ16,"AAAAAH37/b8=")</f>
        <v>#VALUE!</v>
      </c>
      <c r="GK49" t="e">
        <f>AND(Birds!FA16,"AAAAAH37/cA=")</f>
        <v>#VALUE!</v>
      </c>
      <c r="GL49" t="e">
        <f>AND(Birds!FB16,"AAAAAH37/cE=")</f>
        <v>#VALUE!</v>
      </c>
      <c r="GM49" t="e">
        <f>AND(Birds!FC16,"AAAAAH37/cI=")</f>
        <v>#VALUE!</v>
      </c>
      <c r="GN49" t="e">
        <f>AND(Birds!FD16,"AAAAAH37/cM=")</f>
        <v>#VALUE!</v>
      </c>
      <c r="GO49" t="e">
        <f>AND(Birds!FE16,"AAAAAH37/cQ=")</f>
        <v>#VALUE!</v>
      </c>
      <c r="GP49" t="e">
        <f>AND(Birds!FF16,"AAAAAH37/cU=")</f>
        <v>#VALUE!</v>
      </c>
      <c r="GQ49" t="e">
        <f>AND(Birds!FG16,"AAAAAH37/cY=")</f>
        <v>#VALUE!</v>
      </c>
      <c r="GR49" t="e">
        <f>AND(Birds!FH16,"AAAAAH37/cc=")</f>
        <v>#VALUE!</v>
      </c>
      <c r="GS49" t="e">
        <f>AND(Birds!FI16,"AAAAAH37/cg=")</f>
        <v>#VALUE!</v>
      </c>
      <c r="GT49" t="e">
        <f>AND(Birds!FJ16,"AAAAAH37/ck=")</f>
        <v>#VALUE!</v>
      </c>
      <c r="GU49" t="e">
        <f>AND(Birds!FK16,"AAAAAH37/co=")</f>
        <v>#VALUE!</v>
      </c>
      <c r="GV49" t="e">
        <f>AND(Birds!FL16,"AAAAAH37/cs=")</f>
        <v>#VALUE!</v>
      </c>
      <c r="GW49" t="e">
        <f>AND(Birds!FM16,"AAAAAH37/cw=")</f>
        <v>#VALUE!</v>
      </c>
      <c r="GX49" t="e">
        <f>AND(Birds!FN16,"AAAAAH37/c0=")</f>
        <v>#VALUE!</v>
      </c>
      <c r="GY49" t="e">
        <f>AND(Birds!FO16,"AAAAAH37/c4=")</f>
        <v>#VALUE!</v>
      </c>
      <c r="GZ49" t="e">
        <f>AND(Birds!FP16,"AAAAAH37/c8=")</f>
        <v>#VALUE!</v>
      </c>
      <c r="HA49" t="e">
        <f>AND(Birds!FQ16,"AAAAAH37/dA=")</f>
        <v>#VALUE!</v>
      </c>
      <c r="HB49" t="e">
        <f>AND(Birds!FR16,"AAAAAH37/dE=")</f>
        <v>#VALUE!</v>
      </c>
      <c r="HC49" t="e">
        <f>AND(Birds!FS16,"AAAAAH37/dI=")</f>
        <v>#VALUE!</v>
      </c>
      <c r="HD49" t="e">
        <f>AND(Birds!FT16,"AAAAAH37/dM=")</f>
        <v>#VALUE!</v>
      </c>
      <c r="HE49" t="e">
        <f>AND(Birds!FU16,"AAAAAH37/dQ=")</f>
        <v>#VALUE!</v>
      </c>
      <c r="HF49" t="e">
        <f>AND(Birds!FV16,"AAAAAH37/dU=")</f>
        <v>#VALUE!</v>
      </c>
      <c r="HG49" t="e">
        <f>AND(Birds!FW16,"AAAAAH37/dY=")</f>
        <v>#VALUE!</v>
      </c>
      <c r="HH49" t="e">
        <f>AND(Birds!FX16,"AAAAAH37/dc=")</f>
        <v>#VALUE!</v>
      </c>
      <c r="HI49" t="e">
        <f>AND(Birds!FY16,"AAAAAH37/dg=")</f>
        <v>#VALUE!</v>
      </c>
      <c r="HJ49" t="e">
        <f>AND(Birds!FZ16,"AAAAAH37/dk=")</f>
        <v>#VALUE!</v>
      </c>
      <c r="HK49" t="e">
        <f>AND(Birds!GA16,"AAAAAH37/do=")</f>
        <v>#VALUE!</v>
      </c>
      <c r="HL49" t="e">
        <f>AND(Birds!GB16,"AAAAAH37/ds=")</f>
        <v>#VALUE!</v>
      </c>
      <c r="HM49" t="e">
        <f>AND(Birds!GC16,"AAAAAH37/dw=")</f>
        <v>#VALUE!</v>
      </c>
      <c r="HN49" t="e">
        <f>AND(Birds!GD16,"AAAAAH37/d0=")</f>
        <v>#VALUE!</v>
      </c>
      <c r="HO49" t="e">
        <f>AND(Birds!GE16,"AAAAAH37/d4=")</f>
        <v>#VALUE!</v>
      </c>
      <c r="HP49" t="e">
        <f>AND(Birds!GF16,"AAAAAH37/d8=")</f>
        <v>#VALUE!</v>
      </c>
      <c r="HQ49" t="e">
        <f>AND(Birds!GG16,"AAAAAH37/eA=")</f>
        <v>#VALUE!</v>
      </c>
      <c r="HR49" t="e">
        <f>AND(Birds!GH16,"AAAAAH37/eE=")</f>
        <v>#VALUE!</v>
      </c>
      <c r="HS49" t="e">
        <f>AND(Birds!GI16,"AAAAAH37/eI=")</f>
        <v>#VALUE!</v>
      </c>
      <c r="HT49" t="e">
        <f>AND(Birds!GJ16,"AAAAAH37/eM=")</f>
        <v>#VALUE!</v>
      </c>
      <c r="HU49" t="e">
        <f>AND(Birds!GK16,"AAAAAH37/eQ=")</f>
        <v>#VALUE!</v>
      </c>
      <c r="HV49" t="e">
        <f>AND(Birds!GL16,"AAAAAH37/eU=")</f>
        <v>#VALUE!</v>
      </c>
      <c r="HW49" t="e">
        <f>AND(Birds!GM16,"AAAAAH37/eY=")</f>
        <v>#VALUE!</v>
      </c>
      <c r="HX49">
        <f>IF(Birds!17:17,"AAAAAH37/ec=",0)</f>
        <v>0</v>
      </c>
      <c r="HY49" t="e">
        <f>AND(Birds!A17,"AAAAAH37/eg=")</f>
        <v>#VALUE!</v>
      </c>
      <c r="HZ49" t="e">
        <f>AND(Birds!B17,"AAAAAH37/ek=")</f>
        <v>#VALUE!</v>
      </c>
      <c r="IA49" t="e">
        <f>AND(Birds!C17,"AAAAAH37/eo=")</f>
        <v>#VALUE!</v>
      </c>
      <c r="IB49" t="e">
        <f>AND(Birds!D17,"AAAAAH37/es=")</f>
        <v>#VALUE!</v>
      </c>
      <c r="IC49" t="e">
        <f>AND(Birds!E17,"AAAAAH37/ew=")</f>
        <v>#VALUE!</v>
      </c>
      <c r="ID49" t="e">
        <f>AND(Birds!F17,"AAAAAH37/e0=")</f>
        <v>#VALUE!</v>
      </c>
      <c r="IE49" t="e">
        <f>AND(Birds!G17,"AAAAAH37/e4=")</f>
        <v>#VALUE!</v>
      </c>
      <c r="IF49" t="e">
        <f>AND(Birds!H17,"AAAAAH37/e8=")</f>
        <v>#VALUE!</v>
      </c>
      <c r="IG49" t="e">
        <f>AND(Birds!I17,"AAAAAH37/fA=")</f>
        <v>#VALUE!</v>
      </c>
      <c r="IH49" t="e">
        <f>AND(Birds!J17,"AAAAAH37/fE=")</f>
        <v>#VALUE!</v>
      </c>
      <c r="II49" t="e">
        <f>AND(Birds!K17,"AAAAAH37/fI=")</f>
        <v>#VALUE!</v>
      </c>
      <c r="IJ49" t="e">
        <f>AND(Birds!L17,"AAAAAH37/fM=")</f>
        <v>#VALUE!</v>
      </c>
      <c r="IK49" t="e">
        <f>AND(Birds!M17,"AAAAAH37/fQ=")</f>
        <v>#VALUE!</v>
      </c>
      <c r="IL49" t="e">
        <f>AND(Birds!N17,"AAAAAH37/fU=")</f>
        <v>#VALUE!</v>
      </c>
      <c r="IM49" t="e">
        <f>AND(Birds!O17,"AAAAAH37/fY=")</f>
        <v>#VALUE!</v>
      </c>
      <c r="IN49" t="e">
        <f>AND(Birds!P17,"AAAAAH37/fc=")</f>
        <v>#VALUE!</v>
      </c>
      <c r="IO49" t="e">
        <f>AND(Birds!Q17,"AAAAAH37/fg=")</f>
        <v>#VALUE!</v>
      </c>
      <c r="IP49" t="e">
        <f>AND(Birds!R17,"AAAAAH37/fk=")</f>
        <v>#VALUE!</v>
      </c>
      <c r="IQ49" t="e">
        <f>AND(Birds!S17,"AAAAAH37/fo=")</f>
        <v>#VALUE!</v>
      </c>
      <c r="IR49" t="e">
        <f>AND(Birds!T17,"AAAAAH37/fs=")</f>
        <v>#VALUE!</v>
      </c>
      <c r="IS49" t="e">
        <f>AND(Birds!U17,"AAAAAH37/fw=")</f>
        <v>#VALUE!</v>
      </c>
      <c r="IT49" t="e">
        <f>AND(Birds!V17,"AAAAAH37/f0=")</f>
        <v>#VALUE!</v>
      </c>
      <c r="IU49" t="e">
        <f>AND(Birds!W17,"AAAAAH37/f4=")</f>
        <v>#VALUE!</v>
      </c>
      <c r="IV49" t="e">
        <f>AND(Birds!X17,"AAAAAH37/f8=")</f>
        <v>#VALUE!</v>
      </c>
    </row>
    <row r="50" spans="1:256">
      <c r="A50" t="e">
        <f>AND(Birds!Y17,"AAAAAH5qPwA=")</f>
        <v>#VALUE!</v>
      </c>
      <c r="B50" t="e">
        <f>AND(Birds!Z17,"AAAAAH5qPwE=")</f>
        <v>#VALUE!</v>
      </c>
      <c r="C50" t="e">
        <f>AND(Birds!AA17,"AAAAAH5qPwI=")</f>
        <v>#VALUE!</v>
      </c>
      <c r="D50" t="e">
        <f>AND(Birds!AB17,"AAAAAH5qPwM=")</f>
        <v>#VALUE!</v>
      </c>
      <c r="E50" t="e">
        <f>AND(Birds!AC17,"AAAAAH5qPwQ=")</f>
        <v>#VALUE!</v>
      </c>
      <c r="F50" t="e">
        <f>AND(Birds!AD17,"AAAAAH5qPwU=")</f>
        <v>#VALUE!</v>
      </c>
      <c r="G50" t="e">
        <f>AND(Birds!AE17,"AAAAAH5qPwY=")</f>
        <v>#VALUE!</v>
      </c>
      <c r="H50" t="e">
        <f>AND(Birds!AF17,"AAAAAH5qPwc=")</f>
        <v>#VALUE!</v>
      </c>
      <c r="I50" t="e">
        <f>AND(Birds!AG17,"AAAAAH5qPwg=")</f>
        <v>#VALUE!</v>
      </c>
      <c r="J50" t="e">
        <f>AND(Birds!AH17,"AAAAAH5qPwk=")</f>
        <v>#VALUE!</v>
      </c>
      <c r="K50" t="e">
        <f>AND(Birds!AI17,"AAAAAH5qPwo=")</f>
        <v>#VALUE!</v>
      </c>
      <c r="L50" t="e">
        <f>AND(Birds!AJ17,"AAAAAH5qPws=")</f>
        <v>#VALUE!</v>
      </c>
      <c r="M50" t="e">
        <f>AND(Birds!AK17,"AAAAAH5qPww=")</f>
        <v>#VALUE!</v>
      </c>
      <c r="N50" t="e">
        <f>AND(Birds!AL17,"AAAAAH5qPw0=")</f>
        <v>#VALUE!</v>
      </c>
      <c r="O50" t="e">
        <f>AND(Birds!AM17,"AAAAAH5qPw4=")</f>
        <v>#VALUE!</v>
      </c>
      <c r="P50" t="e">
        <f>AND(Birds!AN17,"AAAAAH5qPw8=")</f>
        <v>#VALUE!</v>
      </c>
      <c r="Q50" t="e">
        <f>AND(Birds!AO17,"AAAAAH5qPxA=")</f>
        <v>#VALUE!</v>
      </c>
      <c r="R50" t="e">
        <f>AND(Birds!AP17,"AAAAAH5qPxE=")</f>
        <v>#VALUE!</v>
      </c>
      <c r="S50" t="e">
        <f>AND(Birds!AQ17,"AAAAAH5qPxI=")</f>
        <v>#VALUE!</v>
      </c>
      <c r="T50" t="e">
        <f>AND(Birds!AR17,"AAAAAH5qPxM=")</f>
        <v>#VALUE!</v>
      </c>
      <c r="U50" t="e">
        <f>AND(Birds!AS17,"AAAAAH5qPxQ=")</f>
        <v>#VALUE!</v>
      </c>
      <c r="V50" t="e">
        <f>AND(Birds!AT17,"AAAAAH5qPxU=")</f>
        <v>#VALUE!</v>
      </c>
      <c r="W50" t="e">
        <f>AND(Birds!AU17,"AAAAAH5qPxY=")</f>
        <v>#VALUE!</v>
      </c>
      <c r="X50" t="e">
        <f>AND(Birds!AV17,"AAAAAH5qPxc=")</f>
        <v>#VALUE!</v>
      </c>
      <c r="Y50" t="e">
        <f>AND(Birds!AW17,"AAAAAH5qPxg=")</f>
        <v>#VALUE!</v>
      </c>
      <c r="Z50" t="e">
        <f>AND(Birds!AX17,"AAAAAH5qPxk=")</f>
        <v>#VALUE!</v>
      </c>
      <c r="AA50" t="e">
        <f>AND(Birds!AY17,"AAAAAH5qPxo=")</f>
        <v>#VALUE!</v>
      </c>
      <c r="AB50" t="e">
        <f>AND(Birds!AZ17,"AAAAAH5qPxs=")</f>
        <v>#VALUE!</v>
      </c>
      <c r="AC50" t="e">
        <f>AND(Birds!BA17,"AAAAAH5qPxw=")</f>
        <v>#VALUE!</v>
      </c>
      <c r="AD50" t="e">
        <f>AND(Birds!BB17,"AAAAAH5qPx0=")</f>
        <v>#VALUE!</v>
      </c>
      <c r="AE50" t="e">
        <f>AND(Birds!BC17,"AAAAAH5qPx4=")</f>
        <v>#VALUE!</v>
      </c>
      <c r="AF50" t="e">
        <f>AND(Birds!BD17,"AAAAAH5qPx8=")</f>
        <v>#VALUE!</v>
      </c>
      <c r="AG50" t="e">
        <f>AND(Birds!BE17,"AAAAAH5qPyA=")</f>
        <v>#VALUE!</v>
      </c>
      <c r="AH50" t="e">
        <f>AND(Birds!BF17,"AAAAAH5qPyE=")</f>
        <v>#VALUE!</v>
      </c>
      <c r="AI50" t="e">
        <f>AND(Birds!BG17,"AAAAAH5qPyI=")</f>
        <v>#VALUE!</v>
      </c>
      <c r="AJ50" t="e">
        <f>AND(Birds!BH17,"AAAAAH5qPyM=")</f>
        <v>#VALUE!</v>
      </c>
      <c r="AK50" t="e">
        <f>AND(Birds!BI17,"AAAAAH5qPyQ=")</f>
        <v>#VALUE!</v>
      </c>
      <c r="AL50" t="e">
        <f>AND(Birds!BJ17,"AAAAAH5qPyU=")</f>
        <v>#VALUE!</v>
      </c>
      <c r="AM50" t="e">
        <f>AND(Birds!BK17,"AAAAAH5qPyY=")</f>
        <v>#VALUE!</v>
      </c>
      <c r="AN50" t="e">
        <f>AND(Birds!BL17,"AAAAAH5qPyc=")</f>
        <v>#VALUE!</v>
      </c>
      <c r="AO50" t="e">
        <f>AND(Birds!BM17,"AAAAAH5qPyg=")</f>
        <v>#VALUE!</v>
      </c>
      <c r="AP50" t="e">
        <f>AND(Birds!BN17,"AAAAAH5qPyk=")</f>
        <v>#VALUE!</v>
      </c>
      <c r="AQ50" t="e">
        <f>AND(Birds!BO17,"AAAAAH5qPyo=")</f>
        <v>#VALUE!</v>
      </c>
      <c r="AR50" t="e">
        <f>AND(Birds!BP17,"AAAAAH5qPys=")</f>
        <v>#VALUE!</v>
      </c>
      <c r="AS50" t="e">
        <f>AND(Birds!BQ17,"AAAAAH5qPyw=")</f>
        <v>#VALUE!</v>
      </c>
      <c r="AT50" t="e">
        <f>AND(Birds!BR17,"AAAAAH5qPy0=")</f>
        <v>#VALUE!</v>
      </c>
      <c r="AU50" t="e">
        <f>AND(Birds!BS17,"AAAAAH5qPy4=")</f>
        <v>#VALUE!</v>
      </c>
      <c r="AV50" t="e">
        <f>AND(Birds!BT17,"AAAAAH5qPy8=")</f>
        <v>#VALUE!</v>
      </c>
      <c r="AW50" t="e">
        <f>AND(Birds!BU17,"AAAAAH5qPzA=")</f>
        <v>#VALUE!</v>
      </c>
      <c r="AX50" t="e">
        <f>AND(Birds!BV17,"AAAAAH5qPzE=")</f>
        <v>#VALUE!</v>
      </c>
      <c r="AY50" t="e">
        <f>AND(Birds!BW17,"AAAAAH5qPzI=")</f>
        <v>#VALUE!</v>
      </c>
      <c r="AZ50" t="e">
        <f>AND(Birds!BX17,"AAAAAH5qPzM=")</f>
        <v>#VALUE!</v>
      </c>
      <c r="BA50" t="e">
        <f>AND(Birds!BY17,"AAAAAH5qPzQ=")</f>
        <v>#VALUE!</v>
      </c>
      <c r="BB50" t="e">
        <f>AND(Birds!BZ17,"AAAAAH5qPzU=")</f>
        <v>#VALUE!</v>
      </c>
      <c r="BC50" t="e">
        <f>AND(Birds!CA17,"AAAAAH5qPzY=")</f>
        <v>#VALUE!</v>
      </c>
      <c r="BD50" t="e">
        <f>AND(Birds!CB17,"AAAAAH5qPzc=")</f>
        <v>#VALUE!</v>
      </c>
      <c r="BE50" t="e">
        <f>AND(Birds!CC17,"AAAAAH5qPzg=")</f>
        <v>#VALUE!</v>
      </c>
      <c r="BF50" t="e">
        <f>AND(Birds!CD17,"AAAAAH5qPzk=")</f>
        <v>#VALUE!</v>
      </c>
      <c r="BG50" t="e">
        <f>AND(Birds!CE17,"AAAAAH5qPzo=")</f>
        <v>#VALUE!</v>
      </c>
      <c r="BH50" t="e">
        <f>AND(Birds!CF17,"AAAAAH5qPzs=")</f>
        <v>#VALUE!</v>
      </c>
      <c r="BI50" t="e">
        <f>AND(Birds!CG17,"AAAAAH5qPzw=")</f>
        <v>#VALUE!</v>
      </c>
      <c r="BJ50" t="e">
        <f>AND(Birds!CH17,"AAAAAH5qPz0=")</f>
        <v>#VALUE!</v>
      </c>
      <c r="BK50" t="e">
        <f>AND(Birds!CI17,"AAAAAH5qPz4=")</f>
        <v>#VALUE!</v>
      </c>
      <c r="BL50" t="e">
        <f>AND(Birds!CJ17,"AAAAAH5qPz8=")</f>
        <v>#VALUE!</v>
      </c>
      <c r="BM50" t="e">
        <f>AND(Birds!CK17,"AAAAAH5qP0A=")</f>
        <v>#VALUE!</v>
      </c>
      <c r="BN50" t="e">
        <f>AND(Birds!CL17,"AAAAAH5qP0E=")</f>
        <v>#VALUE!</v>
      </c>
      <c r="BO50" t="e">
        <f>AND(Birds!CM17,"AAAAAH5qP0I=")</f>
        <v>#VALUE!</v>
      </c>
      <c r="BP50" t="e">
        <f>AND(Birds!CN17,"AAAAAH5qP0M=")</f>
        <v>#VALUE!</v>
      </c>
      <c r="BQ50" t="e">
        <f>AND(Birds!CO17,"AAAAAH5qP0Q=")</f>
        <v>#VALUE!</v>
      </c>
      <c r="BR50" t="e">
        <f>AND(Birds!CP17,"AAAAAH5qP0U=")</f>
        <v>#VALUE!</v>
      </c>
      <c r="BS50" t="e">
        <f>AND(Birds!CQ17,"AAAAAH5qP0Y=")</f>
        <v>#VALUE!</v>
      </c>
      <c r="BT50" t="e">
        <f>AND(Birds!CR17,"AAAAAH5qP0c=")</f>
        <v>#VALUE!</v>
      </c>
      <c r="BU50" t="e">
        <f>AND(Birds!CS17,"AAAAAH5qP0g=")</f>
        <v>#VALUE!</v>
      </c>
      <c r="BV50" t="e">
        <f>AND(Birds!CT17,"AAAAAH5qP0k=")</f>
        <v>#VALUE!</v>
      </c>
      <c r="BW50" t="e">
        <f>AND(Birds!CU17,"AAAAAH5qP0o=")</f>
        <v>#VALUE!</v>
      </c>
      <c r="BX50" t="e">
        <f>AND(Birds!CV17,"AAAAAH5qP0s=")</f>
        <v>#VALUE!</v>
      </c>
      <c r="BY50" t="e">
        <f>AND(Birds!CW17,"AAAAAH5qP0w=")</f>
        <v>#VALUE!</v>
      </c>
      <c r="BZ50" t="e">
        <f>AND(Birds!CX17,"AAAAAH5qP00=")</f>
        <v>#VALUE!</v>
      </c>
      <c r="CA50" t="e">
        <f>AND(Birds!CY17,"AAAAAH5qP04=")</f>
        <v>#VALUE!</v>
      </c>
      <c r="CB50" t="e">
        <f>AND(Birds!CZ17,"AAAAAH5qP08=")</f>
        <v>#VALUE!</v>
      </c>
      <c r="CC50" t="e">
        <f>AND(Birds!DA17,"AAAAAH5qP1A=")</f>
        <v>#VALUE!</v>
      </c>
      <c r="CD50" t="e">
        <f>AND(Birds!DB17,"AAAAAH5qP1E=")</f>
        <v>#VALUE!</v>
      </c>
      <c r="CE50" t="e">
        <f>AND(Birds!DC17,"AAAAAH5qP1I=")</f>
        <v>#VALUE!</v>
      </c>
      <c r="CF50" t="e">
        <f>AND(Birds!DD17,"AAAAAH5qP1M=")</f>
        <v>#VALUE!</v>
      </c>
      <c r="CG50" t="e">
        <f>AND(Birds!DE17,"AAAAAH5qP1Q=")</f>
        <v>#VALUE!</v>
      </c>
      <c r="CH50" t="e">
        <f>AND(Birds!DF17,"AAAAAH5qP1U=")</f>
        <v>#VALUE!</v>
      </c>
      <c r="CI50" t="e">
        <f>AND(Birds!DG17,"AAAAAH5qP1Y=")</f>
        <v>#VALUE!</v>
      </c>
      <c r="CJ50" t="e">
        <f>AND(Birds!DH17,"AAAAAH5qP1c=")</f>
        <v>#VALUE!</v>
      </c>
      <c r="CK50" t="e">
        <f>AND(Birds!DI17,"AAAAAH5qP1g=")</f>
        <v>#VALUE!</v>
      </c>
      <c r="CL50" t="e">
        <f>AND(Birds!DJ17,"AAAAAH5qP1k=")</f>
        <v>#VALUE!</v>
      </c>
      <c r="CM50" t="e">
        <f>AND(Birds!DK17,"AAAAAH5qP1o=")</f>
        <v>#VALUE!</v>
      </c>
      <c r="CN50" t="e">
        <f>AND(Birds!DL17,"AAAAAH5qP1s=")</f>
        <v>#VALUE!</v>
      </c>
      <c r="CO50" t="e">
        <f>AND(Birds!DM17,"AAAAAH5qP1w=")</f>
        <v>#VALUE!</v>
      </c>
      <c r="CP50" t="e">
        <f>AND(Birds!DN17,"AAAAAH5qP10=")</f>
        <v>#VALUE!</v>
      </c>
      <c r="CQ50" t="e">
        <f>AND(Birds!DO17,"AAAAAH5qP14=")</f>
        <v>#VALUE!</v>
      </c>
      <c r="CR50" t="e">
        <f>AND(Birds!DP17,"AAAAAH5qP18=")</f>
        <v>#VALUE!</v>
      </c>
      <c r="CS50" t="e">
        <f>AND(Birds!DQ17,"AAAAAH5qP2A=")</f>
        <v>#VALUE!</v>
      </c>
      <c r="CT50" t="e">
        <f>AND(Birds!DR17,"AAAAAH5qP2E=")</f>
        <v>#VALUE!</v>
      </c>
      <c r="CU50" t="e">
        <f>AND(Birds!DS17,"AAAAAH5qP2I=")</f>
        <v>#VALUE!</v>
      </c>
      <c r="CV50" t="e">
        <f>AND(Birds!DT17,"AAAAAH5qP2M=")</f>
        <v>#VALUE!</v>
      </c>
      <c r="CW50" t="e">
        <f>AND(Birds!DU17,"AAAAAH5qP2Q=")</f>
        <v>#VALUE!</v>
      </c>
      <c r="CX50" t="e">
        <f>AND(Birds!DV17,"AAAAAH5qP2U=")</f>
        <v>#VALUE!</v>
      </c>
      <c r="CY50" t="e">
        <f>AND(Birds!DW17,"AAAAAH5qP2Y=")</f>
        <v>#VALUE!</v>
      </c>
      <c r="CZ50" t="e">
        <f>AND(Birds!DX17,"AAAAAH5qP2c=")</f>
        <v>#VALUE!</v>
      </c>
      <c r="DA50" t="e">
        <f>AND(Birds!DY17,"AAAAAH5qP2g=")</f>
        <v>#VALUE!</v>
      </c>
      <c r="DB50" t="e">
        <f>AND(Birds!DZ17,"AAAAAH5qP2k=")</f>
        <v>#VALUE!</v>
      </c>
      <c r="DC50" t="e">
        <f>AND(Birds!EA17,"AAAAAH5qP2o=")</f>
        <v>#VALUE!</v>
      </c>
      <c r="DD50" t="e">
        <f>AND(Birds!EB17,"AAAAAH5qP2s=")</f>
        <v>#VALUE!</v>
      </c>
      <c r="DE50" t="e">
        <f>AND(Birds!EC17,"AAAAAH5qP2w=")</f>
        <v>#VALUE!</v>
      </c>
      <c r="DF50" t="e">
        <f>AND(Birds!ED17,"AAAAAH5qP20=")</f>
        <v>#VALUE!</v>
      </c>
      <c r="DG50" t="e">
        <f>AND(Birds!EE17,"AAAAAH5qP24=")</f>
        <v>#VALUE!</v>
      </c>
      <c r="DH50" t="e">
        <f>AND(Birds!EF17,"AAAAAH5qP28=")</f>
        <v>#VALUE!</v>
      </c>
      <c r="DI50" t="e">
        <f>AND(Birds!EG17,"AAAAAH5qP3A=")</f>
        <v>#VALUE!</v>
      </c>
      <c r="DJ50" t="e">
        <f>AND(Birds!EH17,"AAAAAH5qP3E=")</f>
        <v>#VALUE!</v>
      </c>
      <c r="DK50" t="e">
        <f>AND(Birds!EI17,"AAAAAH5qP3I=")</f>
        <v>#VALUE!</v>
      </c>
      <c r="DL50" t="e">
        <f>AND(Birds!EJ17,"AAAAAH5qP3M=")</f>
        <v>#VALUE!</v>
      </c>
      <c r="DM50" t="e">
        <f>AND(Birds!EK17,"AAAAAH5qP3Q=")</f>
        <v>#VALUE!</v>
      </c>
      <c r="DN50" t="e">
        <f>AND(Birds!EL17,"AAAAAH5qP3U=")</f>
        <v>#VALUE!</v>
      </c>
      <c r="DO50" t="e">
        <f>AND(Birds!EM17,"AAAAAH5qP3Y=")</f>
        <v>#VALUE!</v>
      </c>
      <c r="DP50" t="e">
        <f>AND(Birds!EN17,"AAAAAH5qP3c=")</f>
        <v>#VALUE!</v>
      </c>
      <c r="DQ50" t="e">
        <f>AND(Birds!EO17,"AAAAAH5qP3g=")</f>
        <v>#VALUE!</v>
      </c>
      <c r="DR50" t="e">
        <f>AND(Birds!EP17,"AAAAAH5qP3k=")</f>
        <v>#VALUE!</v>
      </c>
      <c r="DS50" t="e">
        <f>AND(Birds!EQ17,"AAAAAH5qP3o=")</f>
        <v>#VALUE!</v>
      </c>
      <c r="DT50" t="e">
        <f>AND(Birds!ER17,"AAAAAH5qP3s=")</f>
        <v>#VALUE!</v>
      </c>
      <c r="DU50" t="e">
        <f>AND(Birds!ES17,"AAAAAH5qP3w=")</f>
        <v>#VALUE!</v>
      </c>
      <c r="DV50" t="e">
        <f>AND(Birds!ET17,"AAAAAH5qP30=")</f>
        <v>#VALUE!</v>
      </c>
      <c r="DW50" t="e">
        <f>AND(Birds!EU17,"AAAAAH5qP34=")</f>
        <v>#VALUE!</v>
      </c>
      <c r="DX50" t="e">
        <f>AND(Birds!EV17,"AAAAAH5qP38=")</f>
        <v>#VALUE!</v>
      </c>
      <c r="DY50" t="e">
        <f>AND(Birds!EW17,"AAAAAH5qP4A=")</f>
        <v>#VALUE!</v>
      </c>
      <c r="DZ50" t="e">
        <f>AND(Birds!EX17,"AAAAAH5qP4E=")</f>
        <v>#VALUE!</v>
      </c>
      <c r="EA50" t="e">
        <f>AND(Birds!EY17,"AAAAAH5qP4I=")</f>
        <v>#VALUE!</v>
      </c>
      <c r="EB50" t="e">
        <f>AND(Birds!EZ17,"AAAAAH5qP4M=")</f>
        <v>#VALUE!</v>
      </c>
      <c r="EC50" t="e">
        <f>AND(Birds!FA17,"AAAAAH5qP4Q=")</f>
        <v>#VALUE!</v>
      </c>
      <c r="ED50" t="e">
        <f>AND(Birds!FB17,"AAAAAH5qP4U=")</f>
        <v>#VALUE!</v>
      </c>
      <c r="EE50" t="e">
        <f>AND(Birds!FC17,"AAAAAH5qP4Y=")</f>
        <v>#VALUE!</v>
      </c>
      <c r="EF50" t="e">
        <f>AND(Birds!FD17,"AAAAAH5qP4c=")</f>
        <v>#VALUE!</v>
      </c>
      <c r="EG50" t="e">
        <f>AND(Birds!FE17,"AAAAAH5qP4g=")</f>
        <v>#VALUE!</v>
      </c>
      <c r="EH50" t="e">
        <f>AND(Birds!FF17,"AAAAAH5qP4k=")</f>
        <v>#VALUE!</v>
      </c>
      <c r="EI50" t="e">
        <f>AND(Birds!FG17,"AAAAAH5qP4o=")</f>
        <v>#VALUE!</v>
      </c>
      <c r="EJ50" t="e">
        <f>AND(Birds!FH17,"AAAAAH5qP4s=")</f>
        <v>#VALUE!</v>
      </c>
      <c r="EK50" t="e">
        <f>AND(Birds!FI17,"AAAAAH5qP4w=")</f>
        <v>#VALUE!</v>
      </c>
      <c r="EL50" t="e">
        <f>AND(Birds!FJ17,"AAAAAH5qP40=")</f>
        <v>#VALUE!</v>
      </c>
      <c r="EM50" t="e">
        <f>AND(Birds!FK17,"AAAAAH5qP44=")</f>
        <v>#VALUE!</v>
      </c>
      <c r="EN50" t="e">
        <f>AND(Birds!FL17,"AAAAAH5qP48=")</f>
        <v>#VALUE!</v>
      </c>
      <c r="EO50" t="e">
        <f>AND(Birds!FM17,"AAAAAH5qP5A=")</f>
        <v>#VALUE!</v>
      </c>
      <c r="EP50" t="e">
        <f>AND(Birds!FN17,"AAAAAH5qP5E=")</f>
        <v>#VALUE!</v>
      </c>
      <c r="EQ50" t="e">
        <f>AND(Birds!FO17,"AAAAAH5qP5I=")</f>
        <v>#VALUE!</v>
      </c>
      <c r="ER50" t="e">
        <f>AND(Birds!FP17,"AAAAAH5qP5M=")</f>
        <v>#VALUE!</v>
      </c>
      <c r="ES50" t="e">
        <f>AND(Birds!FQ17,"AAAAAH5qP5Q=")</f>
        <v>#VALUE!</v>
      </c>
      <c r="ET50" t="e">
        <f>AND(Birds!FR17,"AAAAAH5qP5U=")</f>
        <v>#VALUE!</v>
      </c>
      <c r="EU50" t="e">
        <f>AND(Birds!FS17,"AAAAAH5qP5Y=")</f>
        <v>#VALUE!</v>
      </c>
      <c r="EV50" t="e">
        <f>AND(Birds!FT17,"AAAAAH5qP5c=")</f>
        <v>#VALUE!</v>
      </c>
      <c r="EW50" t="e">
        <f>AND(Birds!FU17,"AAAAAH5qP5g=")</f>
        <v>#VALUE!</v>
      </c>
      <c r="EX50" t="e">
        <f>AND(Birds!FV17,"AAAAAH5qP5k=")</f>
        <v>#VALUE!</v>
      </c>
      <c r="EY50" t="e">
        <f>AND(Birds!FW17,"AAAAAH5qP5o=")</f>
        <v>#VALUE!</v>
      </c>
      <c r="EZ50" t="e">
        <f>AND(Birds!FX17,"AAAAAH5qP5s=")</f>
        <v>#VALUE!</v>
      </c>
      <c r="FA50" t="e">
        <f>AND(Birds!FY17,"AAAAAH5qP5w=")</f>
        <v>#VALUE!</v>
      </c>
      <c r="FB50" t="e">
        <f>AND(Birds!FZ17,"AAAAAH5qP50=")</f>
        <v>#VALUE!</v>
      </c>
      <c r="FC50" t="e">
        <f>AND(Birds!GA17,"AAAAAH5qP54=")</f>
        <v>#VALUE!</v>
      </c>
      <c r="FD50" t="e">
        <f>AND(Birds!GB17,"AAAAAH5qP58=")</f>
        <v>#VALUE!</v>
      </c>
      <c r="FE50" t="e">
        <f>AND(Birds!GC17,"AAAAAH5qP6A=")</f>
        <v>#VALUE!</v>
      </c>
      <c r="FF50" t="e">
        <f>AND(Birds!GD17,"AAAAAH5qP6E=")</f>
        <v>#VALUE!</v>
      </c>
      <c r="FG50" t="e">
        <f>AND(Birds!GE17,"AAAAAH5qP6I=")</f>
        <v>#VALUE!</v>
      </c>
      <c r="FH50" t="e">
        <f>AND(Birds!GF17,"AAAAAH5qP6M=")</f>
        <v>#VALUE!</v>
      </c>
      <c r="FI50" t="e">
        <f>AND(Birds!GG17,"AAAAAH5qP6Q=")</f>
        <v>#VALUE!</v>
      </c>
      <c r="FJ50" t="e">
        <f>AND(Birds!GH17,"AAAAAH5qP6U=")</f>
        <v>#VALUE!</v>
      </c>
      <c r="FK50" t="e">
        <f>AND(Birds!GI17,"AAAAAH5qP6Y=")</f>
        <v>#VALUE!</v>
      </c>
      <c r="FL50" t="e">
        <f>AND(Birds!GJ17,"AAAAAH5qP6c=")</f>
        <v>#VALUE!</v>
      </c>
      <c r="FM50" t="e">
        <f>AND(Birds!GK17,"AAAAAH5qP6g=")</f>
        <v>#VALUE!</v>
      </c>
      <c r="FN50" t="e">
        <f>AND(Birds!GL17,"AAAAAH5qP6k=")</f>
        <v>#VALUE!</v>
      </c>
      <c r="FO50" t="e">
        <f>AND(Birds!GM17,"AAAAAH5qP6o=")</f>
        <v>#VALUE!</v>
      </c>
      <c r="FP50">
        <f>IF(Birds!18:18,"AAAAAH5qP6s=",0)</f>
        <v>0</v>
      </c>
      <c r="FQ50" t="e">
        <f>AND(Birds!A18,"AAAAAH5qP6w=")</f>
        <v>#VALUE!</v>
      </c>
      <c r="FR50" t="e">
        <f>AND(Birds!B18,"AAAAAH5qP60=")</f>
        <v>#VALUE!</v>
      </c>
      <c r="FS50" t="e">
        <f>AND(Birds!C18,"AAAAAH5qP64=")</f>
        <v>#VALUE!</v>
      </c>
      <c r="FT50" t="e">
        <f>AND(Birds!D18,"AAAAAH5qP68=")</f>
        <v>#VALUE!</v>
      </c>
      <c r="FU50" t="e">
        <f>AND(Birds!E18,"AAAAAH5qP7A=")</f>
        <v>#VALUE!</v>
      </c>
      <c r="FV50" t="e">
        <f>AND(Birds!F18,"AAAAAH5qP7E=")</f>
        <v>#VALUE!</v>
      </c>
      <c r="FW50" t="e">
        <f>AND(Birds!G18,"AAAAAH5qP7I=")</f>
        <v>#VALUE!</v>
      </c>
      <c r="FX50" t="e">
        <f>AND(Birds!H18,"AAAAAH5qP7M=")</f>
        <v>#VALUE!</v>
      </c>
      <c r="FY50" t="e">
        <f>AND(Birds!I18,"AAAAAH5qP7Q=")</f>
        <v>#VALUE!</v>
      </c>
      <c r="FZ50" t="e">
        <f>AND(Birds!J18,"AAAAAH5qP7U=")</f>
        <v>#VALUE!</v>
      </c>
      <c r="GA50" t="e">
        <f>AND(Birds!K18,"AAAAAH5qP7Y=")</f>
        <v>#VALUE!</v>
      </c>
      <c r="GB50" t="e">
        <f>AND(Birds!L18,"AAAAAH5qP7c=")</f>
        <v>#VALUE!</v>
      </c>
      <c r="GC50" t="e">
        <f>AND(Birds!M18,"AAAAAH5qP7g=")</f>
        <v>#VALUE!</v>
      </c>
      <c r="GD50" t="e">
        <f>AND(Birds!N18,"AAAAAH5qP7k=")</f>
        <v>#VALUE!</v>
      </c>
      <c r="GE50" t="e">
        <f>AND(Birds!O18,"AAAAAH5qP7o=")</f>
        <v>#VALUE!</v>
      </c>
      <c r="GF50" t="e">
        <f>AND(Birds!P18,"AAAAAH5qP7s=")</f>
        <v>#VALUE!</v>
      </c>
      <c r="GG50" t="e">
        <f>AND(Birds!Q18,"AAAAAH5qP7w=")</f>
        <v>#VALUE!</v>
      </c>
      <c r="GH50" t="e">
        <f>AND(Birds!R18,"AAAAAH5qP70=")</f>
        <v>#VALUE!</v>
      </c>
      <c r="GI50" t="e">
        <f>AND(Birds!S18,"AAAAAH5qP74=")</f>
        <v>#VALUE!</v>
      </c>
      <c r="GJ50" t="e">
        <f>AND(Birds!T18,"AAAAAH5qP78=")</f>
        <v>#VALUE!</v>
      </c>
      <c r="GK50" t="e">
        <f>AND(Birds!U18,"AAAAAH5qP8A=")</f>
        <v>#VALUE!</v>
      </c>
      <c r="GL50" t="e">
        <f>AND(Birds!V18,"AAAAAH5qP8E=")</f>
        <v>#VALUE!</v>
      </c>
      <c r="GM50" t="e">
        <f>AND(Birds!W18,"AAAAAH5qP8I=")</f>
        <v>#VALUE!</v>
      </c>
      <c r="GN50" t="e">
        <f>AND(Birds!X18,"AAAAAH5qP8M=")</f>
        <v>#VALUE!</v>
      </c>
      <c r="GO50" t="e">
        <f>AND(Birds!Y18,"AAAAAH5qP8Q=")</f>
        <v>#VALUE!</v>
      </c>
      <c r="GP50" t="e">
        <f>AND(Birds!Z18,"AAAAAH5qP8U=")</f>
        <v>#VALUE!</v>
      </c>
      <c r="GQ50" t="e">
        <f>AND(Birds!AA18,"AAAAAH5qP8Y=")</f>
        <v>#VALUE!</v>
      </c>
      <c r="GR50" t="e">
        <f>AND(Birds!AB18,"AAAAAH5qP8c=")</f>
        <v>#VALUE!</v>
      </c>
      <c r="GS50" t="e">
        <f>AND(Birds!AC18,"AAAAAH5qP8g=")</f>
        <v>#VALUE!</v>
      </c>
      <c r="GT50" t="e">
        <f>AND(Birds!AD18,"AAAAAH5qP8k=")</f>
        <v>#VALUE!</v>
      </c>
      <c r="GU50" t="e">
        <f>AND(Birds!AE18,"AAAAAH5qP8o=")</f>
        <v>#VALUE!</v>
      </c>
      <c r="GV50" t="e">
        <f>AND(Birds!AF18,"AAAAAH5qP8s=")</f>
        <v>#VALUE!</v>
      </c>
      <c r="GW50" t="e">
        <f>AND(Birds!AG18,"AAAAAH5qP8w=")</f>
        <v>#VALUE!</v>
      </c>
      <c r="GX50" t="e">
        <f>AND(Birds!AH18,"AAAAAH5qP80=")</f>
        <v>#VALUE!</v>
      </c>
      <c r="GY50" t="e">
        <f>AND(Birds!AI18,"AAAAAH5qP84=")</f>
        <v>#VALUE!</v>
      </c>
      <c r="GZ50" t="e">
        <f>AND(Birds!AJ18,"AAAAAH5qP88=")</f>
        <v>#VALUE!</v>
      </c>
      <c r="HA50" t="e">
        <f>AND(Birds!AK18,"AAAAAH5qP9A=")</f>
        <v>#VALUE!</v>
      </c>
      <c r="HB50" t="e">
        <f>AND(Birds!AL18,"AAAAAH5qP9E=")</f>
        <v>#VALUE!</v>
      </c>
      <c r="HC50" t="e">
        <f>AND(Birds!AM18,"AAAAAH5qP9I=")</f>
        <v>#VALUE!</v>
      </c>
      <c r="HD50" t="e">
        <f>AND(Birds!AN18,"AAAAAH5qP9M=")</f>
        <v>#VALUE!</v>
      </c>
      <c r="HE50" t="e">
        <f>AND(Birds!AO18,"AAAAAH5qP9Q=")</f>
        <v>#VALUE!</v>
      </c>
      <c r="HF50" t="e">
        <f>AND(Birds!AP18,"AAAAAH5qP9U=")</f>
        <v>#VALUE!</v>
      </c>
      <c r="HG50" t="e">
        <f>AND(Birds!AQ18,"AAAAAH5qP9Y=")</f>
        <v>#VALUE!</v>
      </c>
      <c r="HH50" t="e">
        <f>AND(Birds!AR18,"AAAAAH5qP9c=")</f>
        <v>#VALUE!</v>
      </c>
      <c r="HI50" t="e">
        <f>AND(Birds!AS18,"AAAAAH5qP9g=")</f>
        <v>#VALUE!</v>
      </c>
      <c r="HJ50" t="e">
        <f>AND(Birds!AT18,"AAAAAH5qP9k=")</f>
        <v>#VALUE!</v>
      </c>
      <c r="HK50" t="e">
        <f>AND(Birds!AU18,"AAAAAH5qP9o=")</f>
        <v>#VALUE!</v>
      </c>
      <c r="HL50" t="e">
        <f>AND(Birds!AV18,"AAAAAH5qP9s=")</f>
        <v>#VALUE!</v>
      </c>
      <c r="HM50" t="e">
        <f>AND(Birds!AW18,"AAAAAH5qP9w=")</f>
        <v>#VALUE!</v>
      </c>
      <c r="HN50" t="e">
        <f>AND(Birds!AX18,"AAAAAH5qP90=")</f>
        <v>#VALUE!</v>
      </c>
      <c r="HO50" t="e">
        <f>AND(Birds!AY18,"AAAAAH5qP94=")</f>
        <v>#VALUE!</v>
      </c>
      <c r="HP50" t="e">
        <f>AND(Birds!AZ18,"AAAAAH5qP98=")</f>
        <v>#VALUE!</v>
      </c>
      <c r="HQ50" t="e">
        <f>AND(Birds!BA18,"AAAAAH5qP+A=")</f>
        <v>#VALUE!</v>
      </c>
      <c r="HR50" t="e">
        <f>AND(Birds!BB18,"AAAAAH5qP+E=")</f>
        <v>#VALUE!</v>
      </c>
      <c r="HS50" t="e">
        <f>AND(Birds!BC18,"AAAAAH5qP+I=")</f>
        <v>#VALUE!</v>
      </c>
      <c r="HT50" t="e">
        <f>AND(Birds!BD18,"AAAAAH5qP+M=")</f>
        <v>#VALUE!</v>
      </c>
      <c r="HU50" t="e">
        <f>AND(Birds!BE18,"AAAAAH5qP+Q=")</f>
        <v>#VALUE!</v>
      </c>
      <c r="HV50" t="e">
        <f>AND(Birds!BF18,"AAAAAH5qP+U=")</f>
        <v>#VALUE!</v>
      </c>
      <c r="HW50" t="e">
        <f>AND(Birds!BG18,"AAAAAH5qP+Y=")</f>
        <v>#VALUE!</v>
      </c>
      <c r="HX50" t="e">
        <f>AND(Birds!BH18,"AAAAAH5qP+c=")</f>
        <v>#VALUE!</v>
      </c>
      <c r="HY50" t="e">
        <f>AND(Birds!BI18,"AAAAAH5qP+g=")</f>
        <v>#VALUE!</v>
      </c>
      <c r="HZ50" t="e">
        <f>AND(Birds!BJ18,"AAAAAH5qP+k=")</f>
        <v>#VALUE!</v>
      </c>
      <c r="IA50" t="e">
        <f>AND(Birds!BK18,"AAAAAH5qP+o=")</f>
        <v>#VALUE!</v>
      </c>
      <c r="IB50" t="e">
        <f>AND(Birds!BL18,"AAAAAH5qP+s=")</f>
        <v>#VALUE!</v>
      </c>
      <c r="IC50" t="e">
        <f>AND(Birds!BM18,"AAAAAH5qP+w=")</f>
        <v>#VALUE!</v>
      </c>
      <c r="ID50" t="e">
        <f>AND(Birds!BN18,"AAAAAH5qP+0=")</f>
        <v>#VALUE!</v>
      </c>
      <c r="IE50" t="e">
        <f>AND(Birds!BO18,"AAAAAH5qP+4=")</f>
        <v>#VALUE!</v>
      </c>
      <c r="IF50" t="e">
        <f>AND(Birds!BP18,"AAAAAH5qP+8=")</f>
        <v>#VALUE!</v>
      </c>
      <c r="IG50" t="e">
        <f>AND(Birds!BQ18,"AAAAAH5qP/A=")</f>
        <v>#VALUE!</v>
      </c>
      <c r="IH50" t="e">
        <f>AND(Birds!BR18,"AAAAAH5qP/E=")</f>
        <v>#VALUE!</v>
      </c>
      <c r="II50" t="e">
        <f>AND(Birds!BS18,"AAAAAH5qP/I=")</f>
        <v>#VALUE!</v>
      </c>
      <c r="IJ50" t="e">
        <f>AND(Birds!BT18,"AAAAAH5qP/M=")</f>
        <v>#VALUE!</v>
      </c>
      <c r="IK50" t="e">
        <f>AND(Birds!BU18,"AAAAAH5qP/Q=")</f>
        <v>#VALUE!</v>
      </c>
      <c r="IL50" t="e">
        <f>AND(Birds!BV18,"AAAAAH5qP/U=")</f>
        <v>#VALUE!</v>
      </c>
      <c r="IM50" t="e">
        <f>AND(Birds!BW18,"AAAAAH5qP/Y=")</f>
        <v>#VALUE!</v>
      </c>
      <c r="IN50" t="e">
        <f>AND(Birds!BX18,"AAAAAH5qP/c=")</f>
        <v>#VALUE!</v>
      </c>
      <c r="IO50" t="e">
        <f>AND(Birds!BY18,"AAAAAH5qP/g=")</f>
        <v>#VALUE!</v>
      </c>
      <c r="IP50" t="e">
        <f>AND(Birds!BZ18,"AAAAAH5qP/k=")</f>
        <v>#VALUE!</v>
      </c>
      <c r="IQ50" t="e">
        <f>AND(Birds!CA18,"AAAAAH5qP/o=")</f>
        <v>#VALUE!</v>
      </c>
      <c r="IR50" t="e">
        <f>AND(Birds!CB18,"AAAAAH5qP/s=")</f>
        <v>#VALUE!</v>
      </c>
      <c r="IS50" t="e">
        <f>AND(Birds!CC18,"AAAAAH5qP/w=")</f>
        <v>#VALUE!</v>
      </c>
      <c r="IT50" t="e">
        <f>AND(Birds!CD18,"AAAAAH5qP/0=")</f>
        <v>#VALUE!</v>
      </c>
      <c r="IU50" t="e">
        <f>AND(Birds!CE18,"AAAAAH5qP/4=")</f>
        <v>#VALUE!</v>
      </c>
      <c r="IV50" t="e">
        <f>AND(Birds!CF18,"AAAAAH5qP/8=")</f>
        <v>#VALUE!</v>
      </c>
    </row>
    <row r="51" spans="1:256">
      <c r="A51" t="e">
        <f>AND(Birds!CG18,"AAAAAHfv8wA=")</f>
        <v>#VALUE!</v>
      </c>
      <c r="B51" t="e">
        <f>AND(Birds!CH18,"AAAAAHfv8wE=")</f>
        <v>#VALUE!</v>
      </c>
      <c r="C51" t="e">
        <f>AND(Birds!CI18,"AAAAAHfv8wI=")</f>
        <v>#VALUE!</v>
      </c>
      <c r="D51" t="e">
        <f>AND(Birds!CJ18,"AAAAAHfv8wM=")</f>
        <v>#VALUE!</v>
      </c>
      <c r="E51" t="e">
        <f>AND(Birds!CK18,"AAAAAHfv8wQ=")</f>
        <v>#VALUE!</v>
      </c>
      <c r="F51" t="e">
        <f>AND(Birds!CL18,"AAAAAHfv8wU=")</f>
        <v>#VALUE!</v>
      </c>
      <c r="G51" t="e">
        <f>AND(Birds!CM18,"AAAAAHfv8wY=")</f>
        <v>#VALUE!</v>
      </c>
      <c r="H51" t="e">
        <f>AND(Birds!CN18,"AAAAAHfv8wc=")</f>
        <v>#VALUE!</v>
      </c>
      <c r="I51" t="e">
        <f>AND(Birds!CO18,"AAAAAHfv8wg=")</f>
        <v>#VALUE!</v>
      </c>
      <c r="J51" t="e">
        <f>AND(Birds!CP18,"AAAAAHfv8wk=")</f>
        <v>#VALUE!</v>
      </c>
      <c r="K51" t="e">
        <f>AND(Birds!CQ18,"AAAAAHfv8wo=")</f>
        <v>#VALUE!</v>
      </c>
      <c r="L51" t="e">
        <f>AND(Birds!CR18,"AAAAAHfv8ws=")</f>
        <v>#VALUE!</v>
      </c>
      <c r="M51" t="e">
        <f>AND(Birds!CS18,"AAAAAHfv8ww=")</f>
        <v>#VALUE!</v>
      </c>
      <c r="N51" t="e">
        <f>AND(Birds!CT18,"AAAAAHfv8w0=")</f>
        <v>#VALUE!</v>
      </c>
      <c r="O51" t="e">
        <f>AND(Birds!CU18,"AAAAAHfv8w4=")</f>
        <v>#VALUE!</v>
      </c>
      <c r="P51" t="e">
        <f>AND(Birds!CV18,"AAAAAHfv8w8=")</f>
        <v>#VALUE!</v>
      </c>
      <c r="Q51" t="e">
        <f>AND(Birds!CW18,"AAAAAHfv8xA=")</f>
        <v>#VALUE!</v>
      </c>
      <c r="R51" t="e">
        <f>AND(Birds!CX18,"AAAAAHfv8xE=")</f>
        <v>#VALUE!</v>
      </c>
      <c r="S51" t="e">
        <f>AND(Birds!CY18,"AAAAAHfv8xI=")</f>
        <v>#VALUE!</v>
      </c>
      <c r="T51" t="e">
        <f>AND(Birds!CZ18,"AAAAAHfv8xM=")</f>
        <v>#VALUE!</v>
      </c>
      <c r="U51" t="e">
        <f>AND(Birds!DA18,"AAAAAHfv8xQ=")</f>
        <v>#VALUE!</v>
      </c>
      <c r="V51" t="e">
        <f>AND(Birds!DB18,"AAAAAHfv8xU=")</f>
        <v>#VALUE!</v>
      </c>
      <c r="W51" t="e">
        <f>AND(Birds!DC18,"AAAAAHfv8xY=")</f>
        <v>#VALUE!</v>
      </c>
      <c r="X51" t="e">
        <f>AND(Birds!DD18,"AAAAAHfv8xc=")</f>
        <v>#VALUE!</v>
      </c>
      <c r="Y51" t="e">
        <f>AND(Birds!DE18,"AAAAAHfv8xg=")</f>
        <v>#VALUE!</v>
      </c>
      <c r="Z51" t="e">
        <f>AND(Birds!DF18,"AAAAAHfv8xk=")</f>
        <v>#VALUE!</v>
      </c>
      <c r="AA51" t="e">
        <f>AND(Birds!DG18,"AAAAAHfv8xo=")</f>
        <v>#VALUE!</v>
      </c>
      <c r="AB51" t="e">
        <f>AND(Birds!DH18,"AAAAAHfv8xs=")</f>
        <v>#VALUE!</v>
      </c>
      <c r="AC51" t="e">
        <f>AND(Birds!DI18,"AAAAAHfv8xw=")</f>
        <v>#VALUE!</v>
      </c>
      <c r="AD51" t="e">
        <f>AND(Birds!DJ18,"AAAAAHfv8x0=")</f>
        <v>#VALUE!</v>
      </c>
      <c r="AE51" t="e">
        <f>AND(Birds!DK18,"AAAAAHfv8x4=")</f>
        <v>#VALUE!</v>
      </c>
      <c r="AF51" t="e">
        <f>AND(Birds!DL18,"AAAAAHfv8x8=")</f>
        <v>#VALUE!</v>
      </c>
      <c r="AG51" t="e">
        <f>AND(Birds!DM18,"AAAAAHfv8yA=")</f>
        <v>#VALUE!</v>
      </c>
      <c r="AH51" t="e">
        <f>AND(Birds!DN18,"AAAAAHfv8yE=")</f>
        <v>#VALUE!</v>
      </c>
      <c r="AI51" t="e">
        <f>AND(Birds!DO18,"AAAAAHfv8yI=")</f>
        <v>#VALUE!</v>
      </c>
      <c r="AJ51" t="e">
        <f>AND(Birds!DP18,"AAAAAHfv8yM=")</f>
        <v>#VALUE!</v>
      </c>
      <c r="AK51" t="e">
        <f>AND(Birds!DQ18,"AAAAAHfv8yQ=")</f>
        <v>#VALUE!</v>
      </c>
      <c r="AL51" t="e">
        <f>AND(Birds!DR18,"AAAAAHfv8yU=")</f>
        <v>#VALUE!</v>
      </c>
      <c r="AM51" t="e">
        <f>AND(Birds!DS18,"AAAAAHfv8yY=")</f>
        <v>#VALUE!</v>
      </c>
      <c r="AN51" t="e">
        <f>AND(Birds!DT18,"AAAAAHfv8yc=")</f>
        <v>#VALUE!</v>
      </c>
      <c r="AO51" t="e">
        <f>AND(Birds!DU18,"AAAAAHfv8yg=")</f>
        <v>#VALUE!</v>
      </c>
      <c r="AP51" t="e">
        <f>AND(Birds!DV18,"AAAAAHfv8yk=")</f>
        <v>#VALUE!</v>
      </c>
      <c r="AQ51" t="e">
        <f>AND(Birds!DW18,"AAAAAHfv8yo=")</f>
        <v>#VALUE!</v>
      </c>
      <c r="AR51" t="e">
        <f>AND(Birds!DX18,"AAAAAHfv8ys=")</f>
        <v>#VALUE!</v>
      </c>
      <c r="AS51" t="e">
        <f>AND(Birds!DY18,"AAAAAHfv8yw=")</f>
        <v>#VALUE!</v>
      </c>
      <c r="AT51" t="e">
        <f>AND(Birds!DZ18,"AAAAAHfv8y0=")</f>
        <v>#VALUE!</v>
      </c>
      <c r="AU51" t="e">
        <f>AND(Birds!EA18,"AAAAAHfv8y4=")</f>
        <v>#VALUE!</v>
      </c>
      <c r="AV51" t="e">
        <f>AND(Birds!EB18,"AAAAAHfv8y8=")</f>
        <v>#VALUE!</v>
      </c>
      <c r="AW51" t="e">
        <f>AND(Birds!EC18,"AAAAAHfv8zA=")</f>
        <v>#VALUE!</v>
      </c>
      <c r="AX51" t="e">
        <f>AND(Birds!ED18,"AAAAAHfv8zE=")</f>
        <v>#VALUE!</v>
      </c>
      <c r="AY51" t="e">
        <f>AND(Birds!EE18,"AAAAAHfv8zI=")</f>
        <v>#VALUE!</v>
      </c>
      <c r="AZ51" t="e">
        <f>AND(Birds!EF18,"AAAAAHfv8zM=")</f>
        <v>#VALUE!</v>
      </c>
      <c r="BA51" t="e">
        <f>AND(Birds!EG18,"AAAAAHfv8zQ=")</f>
        <v>#VALUE!</v>
      </c>
      <c r="BB51" t="e">
        <f>AND(Birds!EH18,"AAAAAHfv8zU=")</f>
        <v>#VALUE!</v>
      </c>
      <c r="BC51" t="e">
        <f>AND(Birds!EI18,"AAAAAHfv8zY=")</f>
        <v>#VALUE!</v>
      </c>
      <c r="BD51" t="e">
        <f>AND(Birds!EJ18,"AAAAAHfv8zc=")</f>
        <v>#VALUE!</v>
      </c>
      <c r="BE51" t="e">
        <f>AND(Birds!EK18,"AAAAAHfv8zg=")</f>
        <v>#VALUE!</v>
      </c>
      <c r="BF51" t="e">
        <f>AND(Birds!EL18,"AAAAAHfv8zk=")</f>
        <v>#VALUE!</v>
      </c>
      <c r="BG51" t="e">
        <f>AND(Birds!EM18,"AAAAAHfv8zo=")</f>
        <v>#VALUE!</v>
      </c>
      <c r="BH51" t="e">
        <f>AND(Birds!EN18,"AAAAAHfv8zs=")</f>
        <v>#VALUE!</v>
      </c>
      <c r="BI51" t="e">
        <f>AND(Birds!EO18,"AAAAAHfv8zw=")</f>
        <v>#VALUE!</v>
      </c>
      <c r="BJ51" t="e">
        <f>AND(Birds!EP18,"AAAAAHfv8z0=")</f>
        <v>#VALUE!</v>
      </c>
      <c r="BK51" t="e">
        <f>AND(Birds!EQ18,"AAAAAHfv8z4=")</f>
        <v>#VALUE!</v>
      </c>
      <c r="BL51" t="e">
        <f>AND(Birds!ER18,"AAAAAHfv8z8=")</f>
        <v>#VALUE!</v>
      </c>
      <c r="BM51" t="e">
        <f>AND(Birds!ES18,"AAAAAHfv80A=")</f>
        <v>#VALUE!</v>
      </c>
      <c r="BN51" t="e">
        <f>AND(Birds!ET18,"AAAAAHfv80E=")</f>
        <v>#VALUE!</v>
      </c>
      <c r="BO51" t="e">
        <f>AND(Birds!EU18,"AAAAAHfv80I=")</f>
        <v>#VALUE!</v>
      </c>
      <c r="BP51" t="e">
        <f>AND(Birds!EV18,"AAAAAHfv80M=")</f>
        <v>#VALUE!</v>
      </c>
      <c r="BQ51" t="e">
        <f>AND(Birds!EW18,"AAAAAHfv80Q=")</f>
        <v>#VALUE!</v>
      </c>
      <c r="BR51" t="e">
        <f>AND(Birds!EX18,"AAAAAHfv80U=")</f>
        <v>#VALUE!</v>
      </c>
      <c r="BS51" t="e">
        <f>AND(Birds!EY18,"AAAAAHfv80Y=")</f>
        <v>#VALUE!</v>
      </c>
      <c r="BT51" t="e">
        <f>AND(Birds!EZ18,"AAAAAHfv80c=")</f>
        <v>#VALUE!</v>
      </c>
      <c r="BU51" t="e">
        <f>AND(Birds!FA18,"AAAAAHfv80g=")</f>
        <v>#VALUE!</v>
      </c>
      <c r="BV51" t="e">
        <f>AND(Birds!FB18,"AAAAAHfv80k=")</f>
        <v>#VALUE!</v>
      </c>
      <c r="BW51" t="e">
        <f>AND(Birds!FC18,"AAAAAHfv80o=")</f>
        <v>#VALUE!</v>
      </c>
      <c r="BX51" t="e">
        <f>AND(Birds!FD18,"AAAAAHfv80s=")</f>
        <v>#VALUE!</v>
      </c>
      <c r="BY51" t="e">
        <f>AND(Birds!FE18,"AAAAAHfv80w=")</f>
        <v>#VALUE!</v>
      </c>
      <c r="BZ51" t="e">
        <f>AND(Birds!FF18,"AAAAAHfv800=")</f>
        <v>#VALUE!</v>
      </c>
      <c r="CA51" t="e">
        <f>AND(Birds!FG18,"AAAAAHfv804=")</f>
        <v>#VALUE!</v>
      </c>
      <c r="CB51" t="e">
        <f>AND(Birds!FH18,"AAAAAHfv808=")</f>
        <v>#VALUE!</v>
      </c>
      <c r="CC51" t="e">
        <f>AND(Birds!FI18,"AAAAAHfv81A=")</f>
        <v>#VALUE!</v>
      </c>
      <c r="CD51" t="e">
        <f>AND(Birds!FJ18,"AAAAAHfv81E=")</f>
        <v>#VALUE!</v>
      </c>
      <c r="CE51" t="e">
        <f>AND(Birds!FK18,"AAAAAHfv81I=")</f>
        <v>#VALUE!</v>
      </c>
      <c r="CF51" t="e">
        <f>AND(Birds!FL18,"AAAAAHfv81M=")</f>
        <v>#VALUE!</v>
      </c>
      <c r="CG51" t="e">
        <f>AND(Birds!FM18,"AAAAAHfv81Q=")</f>
        <v>#VALUE!</v>
      </c>
      <c r="CH51" t="e">
        <f>AND(Birds!FN18,"AAAAAHfv81U=")</f>
        <v>#VALUE!</v>
      </c>
      <c r="CI51" t="e">
        <f>AND(Birds!FO18,"AAAAAHfv81Y=")</f>
        <v>#VALUE!</v>
      </c>
      <c r="CJ51" t="e">
        <f>AND(Birds!FP18,"AAAAAHfv81c=")</f>
        <v>#VALUE!</v>
      </c>
      <c r="CK51" t="e">
        <f>AND(Birds!FQ18,"AAAAAHfv81g=")</f>
        <v>#VALUE!</v>
      </c>
      <c r="CL51" t="e">
        <f>AND(Birds!FR18,"AAAAAHfv81k=")</f>
        <v>#VALUE!</v>
      </c>
      <c r="CM51" t="e">
        <f>AND(Birds!FS18,"AAAAAHfv81o=")</f>
        <v>#VALUE!</v>
      </c>
      <c r="CN51" t="e">
        <f>AND(Birds!FT18,"AAAAAHfv81s=")</f>
        <v>#VALUE!</v>
      </c>
      <c r="CO51" t="e">
        <f>AND(Birds!FU18,"AAAAAHfv81w=")</f>
        <v>#VALUE!</v>
      </c>
      <c r="CP51" t="e">
        <f>AND(Birds!FV18,"AAAAAHfv810=")</f>
        <v>#VALUE!</v>
      </c>
      <c r="CQ51" t="e">
        <f>AND(Birds!FW18,"AAAAAHfv814=")</f>
        <v>#VALUE!</v>
      </c>
      <c r="CR51" t="e">
        <f>AND(Birds!FX18,"AAAAAHfv818=")</f>
        <v>#VALUE!</v>
      </c>
      <c r="CS51" t="e">
        <f>AND(Birds!FY18,"AAAAAHfv82A=")</f>
        <v>#VALUE!</v>
      </c>
      <c r="CT51" t="e">
        <f>AND(Birds!FZ18,"AAAAAHfv82E=")</f>
        <v>#VALUE!</v>
      </c>
      <c r="CU51" t="e">
        <f>AND(Birds!GA18,"AAAAAHfv82I=")</f>
        <v>#VALUE!</v>
      </c>
      <c r="CV51" t="e">
        <f>AND(Birds!GB18,"AAAAAHfv82M=")</f>
        <v>#VALUE!</v>
      </c>
      <c r="CW51" t="e">
        <f>AND(Birds!GC18,"AAAAAHfv82Q=")</f>
        <v>#VALUE!</v>
      </c>
      <c r="CX51" t="e">
        <f>AND(Birds!GD18,"AAAAAHfv82U=")</f>
        <v>#VALUE!</v>
      </c>
      <c r="CY51" t="e">
        <f>AND(Birds!GE18,"AAAAAHfv82Y=")</f>
        <v>#VALUE!</v>
      </c>
      <c r="CZ51" t="e">
        <f>AND(Birds!GF18,"AAAAAHfv82c=")</f>
        <v>#VALUE!</v>
      </c>
      <c r="DA51" t="e">
        <f>AND(Birds!GG18,"AAAAAHfv82g=")</f>
        <v>#VALUE!</v>
      </c>
      <c r="DB51" t="e">
        <f>AND(Birds!GH18,"AAAAAHfv82k=")</f>
        <v>#VALUE!</v>
      </c>
      <c r="DC51" t="e">
        <f>AND(Birds!GI18,"AAAAAHfv82o=")</f>
        <v>#VALUE!</v>
      </c>
      <c r="DD51" t="e">
        <f>AND(Birds!GJ18,"AAAAAHfv82s=")</f>
        <v>#VALUE!</v>
      </c>
      <c r="DE51" t="e">
        <f>AND(Birds!GK18,"AAAAAHfv82w=")</f>
        <v>#VALUE!</v>
      </c>
      <c r="DF51" t="e">
        <f>AND(Birds!GL18,"AAAAAHfv820=")</f>
        <v>#VALUE!</v>
      </c>
      <c r="DG51" t="e">
        <f>AND(Birds!GM18,"AAAAAHfv824=")</f>
        <v>#VALUE!</v>
      </c>
      <c r="DH51">
        <f>IF(Birds!19:19,"AAAAAHfv828=",0)</f>
        <v>0</v>
      </c>
      <c r="DI51" t="e">
        <f>AND(Birds!A19,"AAAAAHfv83A=")</f>
        <v>#VALUE!</v>
      </c>
      <c r="DJ51" t="e">
        <f>AND(Birds!B19,"AAAAAHfv83E=")</f>
        <v>#VALUE!</v>
      </c>
      <c r="DK51" t="e">
        <f>AND(Birds!C19,"AAAAAHfv83I=")</f>
        <v>#VALUE!</v>
      </c>
      <c r="DL51" t="e">
        <f>AND(Birds!D19,"AAAAAHfv83M=")</f>
        <v>#VALUE!</v>
      </c>
      <c r="DM51" t="e">
        <f>AND(Birds!E19,"AAAAAHfv83Q=")</f>
        <v>#VALUE!</v>
      </c>
      <c r="DN51" t="e">
        <f>AND(Birds!F19,"AAAAAHfv83U=")</f>
        <v>#VALUE!</v>
      </c>
      <c r="DO51" t="e">
        <f>AND(Birds!G19,"AAAAAHfv83Y=")</f>
        <v>#VALUE!</v>
      </c>
      <c r="DP51" t="e">
        <f>AND(Birds!H19,"AAAAAHfv83c=")</f>
        <v>#VALUE!</v>
      </c>
      <c r="DQ51" t="e">
        <f>AND(Birds!I19,"AAAAAHfv83g=")</f>
        <v>#VALUE!</v>
      </c>
      <c r="DR51" t="e">
        <f>AND(Birds!J19,"AAAAAHfv83k=")</f>
        <v>#VALUE!</v>
      </c>
      <c r="DS51" t="e">
        <f>AND(Birds!K19,"AAAAAHfv83o=")</f>
        <v>#VALUE!</v>
      </c>
      <c r="DT51" t="e">
        <f>AND(Birds!L19,"AAAAAHfv83s=")</f>
        <v>#VALUE!</v>
      </c>
      <c r="DU51" t="e">
        <f>AND(Birds!M19,"AAAAAHfv83w=")</f>
        <v>#VALUE!</v>
      </c>
      <c r="DV51" t="e">
        <f>AND(Birds!N19,"AAAAAHfv830=")</f>
        <v>#VALUE!</v>
      </c>
      <c r="DW51" t="e">
        <f>AND(Birds!O19,"AAAAAHfv834=")</f>
        <v>#VALUE!</v>
      </c>
      <c r="DX51" t="e">
        <f>AND(Birds!P19,"AAAAAHfv838=")</f>
        <v>#VALUE!</v>
      </c>
      <c r="DY51" t="e">
        <f>AND(Birds!Q19,"AAAAAHfv84A=")</f>
        <v>#VALUE!</v>
      </c>
      <c r="DZ51" t="e">
        <f>AND(Birds!R19,"AAAAAHfv84E=")</f>
        <v>#VALUE!</v>
      </c>
      <c r="EA51" t="e">
        <f>AND(Birds!S19,"AAAAAHfv84I=")</f>
        <v>#VALUE!</v>
      </c>
      <c r="EB51" t="e">
        <f>AND(Birds!T19,"AAAAAHfv84M=")</f>
        <v>#VALUE!</v>
      </c>
      <c r="EC51" t="e">
        <f>AND(Birds!U19,"AAAAAHfv84Q=")</f>
        <v>#VALUE!</v>
      </c>
      <c r="ED51" t="e">
        <f>AND(Birds!V19,"AAAAAHfv84U=")</f>
        <v>#VALUE!</v>
      </c>
      <c r="EE51" t="e">
        <f>AND(Birds!W19,"AAAAAHfv84Y=")</f>
        <v>#VALUE!</v>
      </c>
      <c r="EF51" t="e">
        <f>AND(Birds!X19,"AAAAAHfv84c=")</f>
        <v>#VALUE!</v>
      </c>
      <c r="EG51" t="e">
        <f>AND(Birds!Y19,"AAAAAHfv84g=")</f>
        <v>#VALUE!</v>
      </c>
      <c r="EH51" t="e">
        <f>AND(Birds!Z19,"AAAAAHfv84k=")</f>
        <v>#VALUE!</v>
      </c>
      <c r="EI51" t="e">
        <f>AND(Birds!AA19,"AAAAAHfv84o=")</f>
        <v>#VALUE!</v>
      </c>
      <c r="EJ51" t="e">
        <f>AND(Birds!AB19,"AAAAAHfv84s=")</f>
        <v>#VALUE!</v>
      </c>
      <c r="EK51" t="e">
        <f>AND(Birds!AC19,"AAAAAHfv84w=")</f>
        <v>#VALUE!</v>
      </c>
      <c r="EL51" t="e">
        <f>AND(Birds!AD19,"AAAAAHfv840=")</f>
        <v>#VALUE!</v>
      </c>
      <c r="EM51" t="e">
        <f>AND(Birds!AE19,"AAAAAHfv844=")</f>
        <v>#VALUE!</v>
      </c>
      <c r="EN51" t="e">
        <f>AND(Birds!AF19,"AAAAAHfv848=")</f>
        <v>#VALUE!</v>
      </c>
      <c r="EO51" t="e">
        <f>AND(Birds!AG19,"AAAAAHfv85A=")</f>
        <v>#VALUE!</v>
      </c>
      <c r="EP51" t="e">
        <f>AND(Birds!AH19,"AAAAAHfv85E=")</f>
        <v>#VALUE!</v>
      </c>
      <c r="EQ51" t="e">
        <f>AND(Birds!AI19,"AAAAAHfv85I=")</f>
        <v>#VALUE!</v>
      </c>
      <c r="ER51" t="e">
        <f>AND(Birds!AJ19,"AAAAAHfv85M=")</f>
        <v>#VALUE!</v>
      </c>
      <c r="ES51" t="e">
        <f>AND(Birds!AK19,"AAAAAHfv85Q=")</f>
        <v>#VALUE!</v>
      </c>
      <c r="ET51" t="e">
        <f>AND(Birds!AL19,"AAAAAHfv85U=")</f>
        <v>#VALUE!</v>
      </c>
      <c r="EU51" t="e">
        <f>AND(Birds!AM19,"AAAAAHfv85Y=")</f>
        <v>#VALUE!</v>
      </c>
      <c r="EV51" t="e">
        <f>AND(Birds!AN19,"AAAAAHfv85c=")</f>
        <v>#VALUE!</v>
      </c>
      <c r="EW51" t="e">
        <f>AND(Birds!AO19,"AAAAAHfv85g=")</f>
        <v>#VALUE!</v>
      </c>
      <c r="EX51" t="e">
        <f>AND(Birds!AP19,"AAAAAHfv85k=")</f>
        <v>#VALUE!</v>
      </c>
      <c r="EY51" t="e">
        <f>AND(Birds!AQ19,"AAAAAHfv85o=")</f>
        <v>#VALUE!</v>
      </c>
      <c r="EZ51" t="e">
        <f>AND(Birds!AR19,"AAAAAHfv85s=")</f>
        <v>#VALUE!</v>
      </c>
      <c r="FA51" t="e">
        <f>AND(Birds!AS19,"AAAAAHfv85w=")</f>
        <v>#VALUE!</v>
      </c>
      <c r="FB51" t="e">
        <f>AND(Birds!AT19,"AAAAAHfv850=")</f>
        <v>#VALUE!</v>
      </c>
      <c r="FC51" t="e">
        <f>AND(Birds!AU19,"AAAAAHfv854=")</f>
        <v>#VALUE!</v>
      </c>
      <c r="FD51" t="e">
        <f>AND(Birds!AV19,"AAAAAHfv858=")</f>
        <v>#VALUE!</v>
      </c>
      <c r="FE51" t="e">
        <f>AND(Birds!AW19,"AAAAAHfv86A=")</f>
        <v>#VALUE!</v>
      </c>
      <c r="FF51" t="e">
        <f>AND(Birds!AX19,"AAAAAHfv86E=")</f>
        <v>#VALUE!</v>
      </c>
      <c r="FG51" t="e">
        <f>AND(Birds!AY19,"AAAAAHfv86I=")</f>
        <v>#VALUE!</v>
      </c>
      <c r="FH51" t="e">
        <f>AND(Birds!AZ19,"AAAAAHfv86M=")</f>
        <v>#VALUE!</v>
      </c>
      <c r="FI51" t="e">
        <f>AND(Birds!BA19,"AAAAAHfv86Q=")</f>
        <v>#VALUE!</v>
      </c>
      <c r="FJ51" t="e">
        <f>AND(Birds!BB19,"AAAAAHfv86U=")</f>
        <v>#VALUE!</v>
      </c>
      <c r="FK51" t="e">
        <f>AND(Birds!BC19,"AAAAAHfv86Y=")</f>
        <v>#VALUE!</v>
      </c>
      <c r="FL51" t="e">
        <f>AND(Birds!BD19,"AAAAAHfv86c=")</f>
        <v>#VALUE!</v>
      </c>
      <c r="FM51" t="e">
        <f>AND(Birds!BE19,"AAAAAHfv86g=")</f>
        <v>#VALUE!</v>
      </c>
      <c r="FN51" t="e">
        <f>AND(Birds!BF19,"AAAAAHfv86k=")</f>
        <v>#VALUE!</v>
      </c>
      <c r="FO51" t="e">
        <f>AND(Birds!BG19,"AAAAAHfv86o=")</f>
        <v>#VALUE!</v>
      </c>
      <c r="FP51" t="e">
        <f>AND(Birds!BH19,"AAAAAHfv86s=")</f>
        <v>#VALUE!</v>
      </c>
      <c r="FQ51" t="e">
        <f>AND(Birds!BI19,"AAAAAHfv86w=")</f>
        <v>#VALUE!</v>
      </c>
      <c r="FR51" t="e">
        <f>AND(Birds!BJ19,"AAAAAHfv860=")</f>
        <v>#VALUE!</v>
      </c>
      <c r="FS51" t="e">
        <f>AND(Birds!BK19,"AAAAAHfv864=")</f>
        <v>#VALUE!</v>
      </c>
      <c r="FT51" t="e">
        <f>AND(Birds!BL19,"AAAAAHfv868=")</f>
        <v>#VALUE!</v>
      </c>
      <c r="FU51" t="e">
        <f>AND(Birds!BM19,"AAAAAHfv87A=")</f>
        <v>#VALUE!</v>
      </c>
      <c r="FV51" t="e">
        <f>AND(Birds!BN19,"AAAAAHfv87E=")</f>
        <v>#VALUE!</v>
      </c>
      <c r="FW51" t="e">
        <f>AND(Birds!BO19,"AAAAAHfv87I=")</f>
        <v>#VALUE!</v>
      </c>
      <c r="FX51" t="e">
        <f>AND(Birds!BP19,"AAAAAHfv87M=")</f>
        <v>#VALUE!</v>
      </c>
      <c r="FY51" t="e">
        <f>AND(Birds!BQ19,"AAAAAHfv87Q=")</f>
        <v>#VALUE!</v>
      </c>
      <c r="FZ51" t="e">
        <f>AND(Birds!BR19,"AAAAAHfv87U=")</f>
        <v>#VALUE!</v>
      </c>
      <c r="GA51" t="e">
        <f>AND(Birds!BS19,"AAAAAHfv87Y=")</f>
        <v>#VALUE!</v>
      </c>
      <c r="GB51" t="e">
        <f>AND(Birds!BT19,"AAAAAHfv87c=")</f>
        <v>#VALUE!</v>
      </c>
      <c r="GC51" t="e">
        <f>AND(Birds!BU19,"AAAAAHfv87g=")</f>
        <v>#VALUE!</v>
      </c>
      <c r="GD51" t="e">
        <f>AND(Birds!BV19,"AAAAAHfv87k=")</f>
        <v>#VALUE!</v>
      </c>
      <c r="GE51" t="e">
        <f>AND(Birds!BW19,"AAAAAHfv87o=")</f>
        <v>#VALUE!</v>
      </c>
      <c r="GF51" t="e">
        <f>AND(Birds!BX19,"AAAAAHfv87s=")</f>
        <v>#VALUE!</v>
      </c>
      <c r="GG51" t="e">
        <f>AND(Birds!BY19,"AAAAAHfv87w=")</f>
        <v>#VALUE!</v>
      </c>
      <c r="GH51" t="e">
        <f>AND(Birds!BZ19,"AAAAAHfv870=")</f>
        <v>#VALUE!</v>
      </c>
      <c r="GI51" t="e">
        <f>AND(Birds!CA19,"AAAAAHfv874=")</f>
        <v>#VALUE!</v>
      </c>
      <c r="GJ51" t="e">
        <f>AND(Birds!CB19,"AAAAAHfv878=")</f>
        <v>#VALUE!</v>
      </c>
      <c r="GK51" t="e">
        <f>AND(Birds!CC19,"AAAAAHfv88A=")</f>
        <v>#VALUE!</v>
      </c>
      <c r="GL51" t="e">
        <f>AND(Birds!CD19,"AAAAAHfv88E=")</f>
        <v>#VALUE!</v>
      </c>
      <c r="GM51" t="e">
        <f>AND(Birds!CE19,"AAAAAHfv88I=")</f>
        <v>#VALUE!</v>
      </c>
      <c r="GN51" t="e">
        <f>AND(Birds!CF19,"AAAAAHfv88M=")</f>
        <v>#VALUE!</v>
      </c>
      <c r="GO51" t="e">
        <f>AND(Birds!CG19,"AAAAAHfv88Q=")</f>
        <v>#VALUE!</v>
      </c>
      <c r="GP51" t="e">
        <f>AND(Birds!CH19,"AAAAAHfv88U=")</f>
        <v>#VALUE!</v>
      </c>
      <c r="GQ51" t="e">
        <f>AND(Birds!CI19,"AAAAAHfv88Y=")</f>
        <v>#VALUE!</v>
      </c>
      <c r="GR51" t="e">
        <f>AND(Birds!CJ19,"AAAAAHfv88c=")</f>
        <v>#VALUE!</v>
      </c>
      <c r="GS51" t="e">
        <f>AND(Birds!CK19,"AAAAAHfv88g=")</f>
        <v>#VALUE!</v>
      </c>
      <c r="GT51" t="e">
        <f>AND(Birds!CL19,"AAAAAHfv88k=")</f>
        <v>#VALUE!</v>
      </c>
      <c r="GU51" t="e">
        <f>AND(Birds!CM19,"AAAAAHfv88o=")</f>
        <v>#VALUE!</v>
      </c>
      <c r="GV51" t="e">
        <f>AND(Birds!CN19,"AAAAAHfv88s=")</f>
        <v>#VALUE!</v>
      </c>
      <c r="GW51" t="e">
        <f>AND(Birds!CO19,"AAAAAHfv88w=")</f>
        <v>#VALUE!</v>
      </c>
      <c r="GX51" t="e">
        <f>AND(Birds!CP19,"AAAAAHfv880=")</f>
        <v>#VALUE!</v>
      </c>
      <c r="GY51" t="e">
        <f>AND(Birds!CQ19,"AAAAAHfv884=")</f>
        <v>#VALUE!</v>
      </c>
      <c r="GZ51" t="e">
        <f>AND(Birds!CR19,"AAAAAHfv888=")</f>
        <v>#VALUE!</v>
      </c>
      <c r="HA51" t="e">
        <f>AND(Birds!CS19,"AAAAAHfv89A=")</f>
        <v>#VALUE!</v>
      </c>
      <c r="HB51" t="e">
        <f>AND(Birds!CT19,"AAAAAHfv89E=")</f>
        <v>#VALUE!</v>
      </c>
      <c r="HC51" t="e">
        <f>AND(Birds!CU19,"AAAAAHfv89I=")</f>
        <v>#VALUE!</v>
      </c>
      <c r="HD51" t="e">
        <f>AND(Birds!CV19,"AAAAAHfv89M=")</f>
        <v>#VALUE!</v>
      </c>
      <c r="HE51" t="e">
        <f>AND(Birds!CW19,"AAAAAHfv89Q=")</f>
        <v>#VALUE!</v>
      </c>
      <c r="HF51" t="e">
        <f>AND(Birds!CX19,"AAAAAHfv89U=")</f>
        <v>#VALUE!</v>
      </c>
      <c r="HG51" t="e">
        <f>AND(Birds!CY19,"AAAAAHfv89Y=")</f>
        <v>#VALUE!</v>
      </c>
      <c r="HH51" t="e">
        <f>AND(Birds!CZ19,"AAAAAHfv89c=")</f>
        <v>#VALUE!</v>
      </c>
      <c r="HI51" t="e">
        <f>AND(Birds!DA19,"AAAAAHfv89g=")</f>
        <v>#VALUE!</v>
      </c>
      <c r="HJ51" t="e">
        <f>AND(Birds!DB19,"AAAAAHfv89k=")</f>
        <v>#VALUE!</v>
      </c>
      <c r="HK51" t="e">
        <f>AND(Birds!DC19,"AAAAAHfv89o=")</f>
        <v>#VALUE!</v>
      </c>
      <c r="HL51" t="e">
        <f>AND(Birds!DD19,"AAAAAHfv89s=")</f>
        <v>#VALUE!</v>
      </c>
      <c r="HM51" t="e">
        <f>AND(Birds!DE19,"AAAAAHfv89w=")</f>
        <v>#VALUE!</v>
      </c>
      <c r="HN51" t="e">
        <f>AND(Birds!DF19,"AAAAAHfv890=")</f>
        <v>#VALUE!</v>
      </c>
      <c r="HO51" t="e">
        <f>AND(Birds!DG19,"AAAAAHfv894=")</f>
        <v>#VALUE!</v>
      </c>
      <c r="HP51" t="e">
        <f>AND(Birds!DH19,"AAAAAHfv898=")</f>
        <v>#VALUE!</v>
      </c>
      <c r="HQ51" t="e">
        <f>AND(Birds!DI19,"AAAAAHfv8+A=")</f>
        <v>#VALUE!</v>
      </c>
      <c r="HR51" t="e">
        <f>AND(Birds!DJ19,"AAAAAHfv8+E=")</f>
        <v>#VALUE!</v>
      </c>
      <c r="HS51" t="e">
        <f>AND(Birds!DK19,"AAAAAHfv8+I=")</f>
        <v>#VALUE!</v>
      </c>
      <c r="HT51" t="e">
        <f>AND(Birds!DL19,"AAAAAHfv8+M=")</f>
        <v>#VALUE!</v>
      </c>
      <c r="HU51" t="e">
        <f>AND(Birds!DM19,"AAAAAHfv8+Q=")</f>
        <v>#VALUE!</v>
      </c>
      <c r="HV51" t="e">
        <f>AND(Birds!DN19,"AAAAAHfv8+U=")</f>
        <v>#VALUE!</v>
      </c>
      <c r="HW51" t="e">
        <f>AND(Birds!DO19,"AAAAAHfv8+Y=")</f>
        <v>#VALUE!</v>
      </c>
      <c r="HX51" t="e">
        <f>AND(Birds!DP19,"AAAAAHfv8+c=")</f>
        <v>#VALUE!</v>
      </c>
      <c r="HY51" t="e">
        <f>AND(Birds!DQ19,"AAAAAHfv8+g=")</f>
        <v>#VALUE!</v>
      </c>
      <c r="HZ51" t="e">
        <f>AND(Birds!DR19,"AAAAAHfv8+k=")</f>
        <v>#VALUE!</v>
      </c>
      <c r="IA51" t="e">
        <f>AND(Birds!DS19,"AAAAAHfv8+o=")</f>
        <v>#VALUE!</v>
      </c>
      <c r="IB51" t="e">
        <f>AND(Birds!DT19,"AAAAAHfv8+s=")</f>
        <v>#VALUE!</v>
      </c>
      <c r="IC51" t="e">
        <f>AND(Birds!DU19,"AAAAAHfv8+w=")</f>
        <v>#VALUE!</v>
      </c>
      <c r="ID51" t="e">
        <f>AND(Birds!DV19,"AAAAAHfv8+0=")</f>
        <v>#VALUE!</v>
      </c>
      <c r="IE51" t="e">
        <f>AND(Birds!DW19,"AAAAAHfv8+4=")</f>
        <v>#VALUE!</v>
      </c>
      <c r="IF51" t="e">
        <f>AND(Birds!DX19,"AAAAAHfv8+8=")</f>
        <v>#VALUE!</v>
      </c>
      <c r="IG51" t="e">
        <f>AND(Birds!DY19,"AAAAAHfv8/A=")</f>
        <v>#VALUE!</v>
      </c>
      <c r="IH51" t="e">
        <f>AND(Birds!DZ19,"AAAAAHfv8/E=")</f>
        <v>#VALUE!</v>
      </c>
      <c r="II51" t="e">
        <f>AND(Birds!EA19,"AAAAAHfv8/I=")</f>
        <v>#VALUE!</v>
      </c>
      <c r="IJ51" t="e">
        <f>AND(Birds!EB19,"AAAAAHfv8/M=")</f>
        <v>#VALUE!</v>
      </c>
      <c r="IK51" t="e">
        <f>AND(Birds!EC19,"AAAAAHfv8/Q=")</f>
        <v>#VALUE!</v>
      </c>
      <c r="IL51" t="e">
        <f>AND(Birds!ED19,"AAAAAHfv8/U=")</f>
        <v>#VALUE!</v>
      </c>
      <c r="IM51" t="e">
        <f>AND(Birds!EE19,"AAAAAHfv8/Y=")</f>
        <v>#VALUE!</v>
      </c>
      <c r="IN51" t="e">
        <f>AND(Birds!EF19,"AAAAAHfv8/c=")</f>
        <v>#VALUE!</v>
      </c>
      <c r="IO51" t="e">
        <f>AND(Birds!EG19,"AAAAAHfv8/g=")</f>
        <v>#VALUE!</v>
      </c>
      <c r="IP51" t="e">
        <f>AND(Birds!EH19,"AAAAAHfv8/k=")</f>
        <v>#VALUE!</v>
      </c>
      <c r="IQ51" t="e">
        <f>AND(Birds!EI19,"AAAAAHfv8/o=")</f>
        <v>#VALUE!</v>
      </c>
      <c r="IR51" t="e">
        <f>AND(Birds!EJ19,"AAAAAHfv8/s=")</f>
        <v>#VALUE!</v>
      </c>
      <c r="IS51" t="e">
        <f>AND(Birds!EK19,"AAAAAHfv8/w=")</f>
        <v>#VALUE!</v>
      </c>
      <c r="IT51" t="e">
        <f>AND(Birds!EL19,"AAAAAHfv8/0=")</f>
        <v>#VALUE!</v>
      </c>
      <c r="IU51" t="e">
        <f>AND(Birds!EM19,"AAAAAHfv8/4=")</f>
        <v>#VALUE!</v>
      </c>
      <c r="IV51" t="e">
        <f>AND(Birds!EN19,"AAAAAHfv8/8=")</f>
        <v>#VALUE!</v>
      </c>
    </row>
    <row r="52" spans="1:256">
      <c r="A52" t="e">
        <f>AND(Birds!EO19,"AAAAAHfy+QA=")</f>
        <v>#VALUE!</v>
      </c>
      <c r="B52" t="e">
        <f>AND(Birds!EP19,"AAAAAHfy+QE=")</f>
        <v>#VALUE!</v>
      </c>
      <c r="C52" t="e">
        <f>AND(Birds!EQ19,"AAAAAHfy+QI=")</f>
        <v>#VALUE!</v>
      </c>
      <c r="D52" t="e">
        <f>AND(Birds!ER19,"AAAAAHfy+QM=")</f>
        <v>#VALUE!</v>
      </c>
      <c r="E52" t="e">
        <f>AND(Birds!ES19,"AAAAAHfy+QQ=")</f>
        <v>#VALUE!</v>
      </c>
      <c r="F52" t="e">
        <f>AND(Birds!ET19,"AAAAAHfy+QU=")</f>
        <v>#VALUE!</v>
      </c>
      <c r="G52" t="e">
        <f>AND(Birds!EU19,"AAAAAHfy+QY=")</f>
        <v>#VALUE!</v>
      </c>
      <c r="H52" t="e">
        <f>AND(Birds!EV19,"AAAAAHfy+Qc=")</f>
        <v>#VALUE!</v>
      </c>
      <c r="I52" t="e">
        <f>AND(Birds!EW19,"AAAAAHfy+Qg=")</f>
        <v>#VALUE!</v>
      </c>
      <c r="J52" t="e">
        <f>AND(Birds!EX19,"AAAAAHfy+Qk=")</f>
        <v>#VALUE!</v>
      </c>
      <c r="K52" t="e">
        <f>AND(Birds!EY19,"AAAAAHfy+Qo=")</f>
        <v>#VALUE!</v>
      </c>
      <c r="L52" t="e">
        <f>AND(Birds!EZ19,"AAAAAHfy+Qs=")</f>
        <v>#VALUE!</v>
      </c>
      <c r="M52" t="e">
        <f>AND(Birds!FA19,"AAAAAHfy+Qw=")</f>
        <v>#VALUE!</v>
      </c>
      <c r="N52" t="e">
        <f>AND(Birds!FB19,"AAAAAHfy+Q0=")</f>
        <v>#VALUE!</v>
      </c>
      <c r="O52" t="e">
        <f>AND(Birds!FC19,"AAAAAHfy+Q4=")</f>
        <v>#VALUE!</v>
      </c>
      <c r="P52" t="e">
        <f>AND(Birds!FD19,"AAAAAHfy+Q8=")</f>
        <v>#VALUE!</v>
      </c>
      <c r="Q52" t="e">
        <f>AND(Birds!FE19,"AAAAAHfy+RA=")</f>
        <v>#VALUE!</v>
      </c>
      <c r="R52" t="e">
        <f>AND(Birds!FF19,"AAAAAHfy+RE=")</f>
        <v>#VALUE!</v>
      </c>
      <c r="S52" t="e">
        <f>AND(Birds!FG19,"AAAAAHfy+RI=")</f>
        <v>#VALUE!</v>
      </c>
      <c r="T52" t="e">
        <f>AND(Birds!FH19,"AAAAAHfy+RM=")</f>
        <v>#VALUE!</v>
      </c>
      <c r="U52" t="e">
        <f>AND(Birds!FI19,"AAAAAHfy+RQ=")</f>
        <v>#VALUE!</v>
      </c>
      <c r="V52" t="e">
        <f>AND(Birds!FJ19,"AAAAAHfy+RU=")</f>
        <v>#VALUE!</v>
      </c>
      <c r="W52" t="e">
        <f>AND(Birds!FK19,"AAAAAHfy+RY=")</f>
        <v>#VALUE!</v>
      </c>
      <c r="X52" t="e">
        <f>AND(Birds!FL19,"AAAAAHfy+Rc=")</f>
        <v>#VALUE!</v>
      </c>
      <c r="Y52" t="e">
        <f>AND(Birds!FM19,"AAAAAHfy+Rg=")</f>
        <v>#VALUE!</v>
      </c>
      <c r="Z52" t="e">
        <f>AND(Birds!FN19,"AAAAAHfy+Rk=")</f>
        <v>#VALUE!</v>
      </c>
      <c r="AA52" t="e">
        <f>AND(Birds!FO19,"AAAAAHfy+Ro=")</f>
        <v>#VALUE!</v>
      </c>
      <c r="AB52" t="e">
        <f>AND(Birds!FP19,"AAAAAHfy+Rs=")</f>
        <v>#VALUE!</v>
      </c>
      <c r="AC52" t="e">
        <f>AND(Birds!FQ19,"AAAAAHfy+Rw=")</f>
        <v>#VALUE!</v>
      </c>
      <c r="AD52" t="e">
        <f>AND(Birds!FR19,"AAAAAHfy+R0=")</f>
        <v>#VALUE!</v>
      </c>
      <c r="AE52" t="e">
        <f>AND(Birds!FS19,"AAAAAHfy+R4=")</f>
        <v>#VALUE!</v>
      </c>
      <c r="AF52" t="e">
        <f>AND(Birds!FT19,"AAAAAHfy+R8=")</f>
        <v>#VALUE!</v>
      </c>
      <c r="AG52" t="e">
        <f>AND(Birds!FU19,"AAAAAHfy+SA=")</f>
        <v>#VALUE!</v>
      </c>
      <c r="AH52" t="e">
        <f>AND(Birds!FV19,"AAAAAHfy+SE=")</f>
        <v>#VALUE!</v>
      </c>
      <c r="AI52" t="e">
        <f>AND(Birds!FW19,"AAAAAHfy+SI=")</f>
        <v>#VALUE!</v>
      </c>
      <c r="AJ52" t="e">
        <f>AND(Birds!FX19,"AAAAAHfy+SM=")</f>
        <v>#VALUE!</v>
      </c>
      <c r="AK52" t="e">
        <f>AND(Birds!FY19,"AAAAAHfy+SQ=")</f>
        <v>#VALUE!</v>
      </c>
      <c r="AL52" t="e">
        <f>AND(Birds!FZ19,"AAAAAHfy+SU=")</f>
        <v>#VALUE!</v>
      </c>
      <c r="AM52" t="e">
        <f>AND(Birds!GA19,"AAAAAHfy+SY=")</f>
        <v>#VALUE!</v>
      </c>
      <c r="AN52" t="e">
        <f>AND(Birds!GB19,"AAAAAHfy+Sc=")</f>
        <v>#VALUE!</v>
      </c>
      <c r="AO52" t="e">
        <f>AND(Birds!GC19,"AAAAAHfy+Sg=")</f>
        <v>#VALUE!</v>
      </c>
      <c r="AP52" t="e">
        <f>AND(Birds!GD19,"AAAAAHfy+Sk=")</f>
        <v>#VALUE!</v>
      </c>
      <c r="AQ52" t="e">
        <f>AND(Birds!GE19,"AAAAAHfy+So=")</f>
        <v>#VALUE!</v>
      </c>
      <c r="AR52" t="e">
        <f>AND(Birds!GF19,"AAAAAHfy+Ss=")</f>
        <v>#VALUE!</v>
      </c>
      <c r="AS52" t="e">
        <f>AND(Birds!GG19,"AAAAAHfy+Sw=")</f>
        <v>#VALUE!</v>
      </c>
      <c r="AT52" t="e">
        <f>AND(Birds!GH19,"AAAAAHfy+S0=")</f>
        <v>#VALUE!</v>
      </c>
      <c r="AU52" t="e">
        <f>AND(Birds!GI19,"AAAAAHfy+S4=")</f>
        <v>#VALUE!</v>
      </c>
      <c r="AV52" t="e">
        <f>AND(Birds!GJ19,"AAAAAHfy+S8=")</f>
        <v>#VALUE!</v>
      </c>
      <c r="AW52" t="e">
        <f>AND(Birds!GK19,"AAAAAHfy+TA=")</f>
        <v>#VALUE!</v>
      </c>
      <c r="AX52" t="e">
        <f>AND(Birds!GL19,"AAAAAHfy+TE=")</f>
        <v>#VALUE!</v>
      </c>
      <c r="AY52" t="e">
        <f>AND(Birds!GM19,"AAAAAHfy+TI=")</f>
        <v>#VALUE!</v>
      </c>
      <c r="AZ52">
        <f>IF(Birds!20:20,"AAAAAHfy+TM=",0)</f>
        <v>0</v>
      </c>
      <c r="BA52" t="e">
        <f>AND(Birds!A20,"AAAAAHfy+TQ=")</f>
        <v>#VALUE!</v>
      </c>
      <c r="BB52" t="e">
        <f>AND(Birds!B20,"AAAAAHfy+TU=")</f>
        <v>#VALUE!</v>
      </c>
      <c r="BC52" t="e">
        <f>AND(Birds!C20,"AAAAAHfy+TY=")</f>
        <v>#VALUE!</v>
      </c>
      <c r="BD52" t="e">
        <f>AND(Birds!D20,"AAAAAHfy+Tc=")</f>
        <v>#VALUE!</v>
      </c>
      <c r="BE52" t="e">
        <f>AND(Birds!E20,"AAAAAHfy+Tg=")</f>
        <v>#VALUE!</v>
      </c>
      <c r="BF52" t="e">
        <f>AND(Birds!F20,"AAAAAHfy+Tk=")</f>
        <v>#VALUE!</v>
      </c>
      <c r="BG52" t="e">
        <f>AND(Birds!G20,"AAAAAHfy+To=")</f>
        <v>#VALUE!</v>
      </c>
      <c r="BH52" t="e">
        <f>AND(Birds!H20,"AAAAAHfy+Ts=")</f>
        <v>#VALUE!</v>
      </c>
      <c r="BI52" t="e">
        <f>AND(Birds!I20,"AAAAAHfy+Tw=")</f>
        <v>#VALUE!</v>
      </c>
      <c r="BJ52" t="e">
        <f>AND(Birds!J20,"AAAAAHfy+T0=")</f>
        <v>#VALUE!</v>
      </c>
      <c r="BK52" t="e">
        <f>AND(Birds!K20,"AAAAAHfy+T4=")</f>
        <v>#VALUE!</v>
      </c>
      <c r="BL52" t="e">
        <f>AND(Birds!L20,"AAAAAHfy+T8=")</f>
        <v>#VALUE!</v>
      </c>
      <c r="BM52" t="e">
        <f>AND(Birds!M20,"AAAAAHfy+UA=")</f>
        <v>#VALUE!</v>
      </c>
      <c r="BN52" t="e">
        <f>AND(Birds!N20,"AAAAAHfy+UE=")</f>
        <v>#VALUE!</v>
      </c>
      <c r="BO52" t="e">
        <f>AND(Birds!O20,"AAAAAHfy+UI=")</f>
        <v>#VALUE!</v>
      </c>
      <c r="BP52" t="e">
        <f>AND(Birds!P20,"AAAAAHfy+UM=")</f>
        <v>#VALUE!</v>
      </c>
      <c r="BQ52" t="e">
        <f>AND(Birds!Q20,"AAAAAHfy+UQ=")</f>
        <v>#VALUE!</v>
      </c>
      <c r="BR52" t="e">
        <f>AND(Birds!R20,"AAAAAHfy+UU=")</f>
        <v>#VALUE!</v>
      </c>
      <c r="BS52" t="e">
        <f>AND(Birds!S20,"AAAAAHfy+UY=")</f>
        <v>#VALUE!</v>
      </c>
      <c r="BT52" t="e">
        <f>AND(Birds!T20,"AAAAAHfy+Uc=")</f>
        <v>#VALUE!</v>
      </c>
      <c r="BU52" t="e">
        <f>AND(Birds!U20,"AAAAAHfy+Ug=")</f>
        <v>#VALUE!</v>
      </c>
      <c r="BV52" t="e">
        <f>AND(Birds!V20,"AAAAAHfy+Uk=")</f>
        <v>#VALUE!</v>
      </c>
      <c r="BW52" t="e">
        <f>AND(Birds!W20,"AAAAAHfy+Uo=")</f>
        <v>#VALUE!</v>
      </c>
      <c r="BX52" t="e">
        <f>AND(Birds!X20,"AAAAAHfy+Us=")</f>
        <v>#VALUE!</v>
      </c>
      <c r="BY52" t="e">
        <f>AND(Birds!Y20,"AAAAAHfy+Uw=")</f>
        <v>#VALUE!</v>
      </c>
      <c r="BZ52" t="e">
        <f>AND(Birds!Z20,"AAAAAHfy+U0=")</f>
        <v>#VALUE!</v>
      </c>
      <c r="CA52" t="e">
        <f>AND(Birds!AA20,"AAAAAHfy+U4=")</f>
        <v>#VALUE!</v>
      </c>
      <c r="CB52" t="e">
        <f>AND(Birds!AB20,"AAAAAHfy+U8=")</f>
        <v>#VALUE!</v>
      </c>
      <c r="CC52" t="e">
        <f>AND(Birds!AC20,"AAAAAHfy+VA=")</f>
        <v>#VALUE!</v>
      </c>
      <c r="CD52" t="e">
        <f>AND(Birds!AD20,"AAAAAHfy+VE=")</f>
        <v>#VALUE!</v>
      </c>
      <c r="CE52" t="e">
        <f>AND(Birds!AE20,"AAAAAHfy+VI=")</f>
        <v>#VALUE!</v>
      </c>
      <c r="CF52" t="e">
        <f>AND(Birds!AF20,"AAAAAHfy+VM=")</f>
        <v>#VALUE!</v>
      </c>
      <c r="CG52" t="e">
        <f>AND(Birds!AG20,"AAAAAHfy+VQ=")</f>
        <v>#VALUE!</v>
      </c>
      <c r="CH52" t="e">
        <f>AND(Birds!AH20,"AAAAAHfy+VU=")</f>
        <v>#VALUE!</v>
      </c>
      <c r="CI52" t="e">
        <f>AND(Birds!AI20,"AAAAAHfy+VY=")</f>
        <v>#VALUE!</v>
      </c>
      <c r="CJ52" t="e">
        <f>AND(Birds!AJ20,"AAAAAHfy+Vc=")</f>
        <v>#VALUE!</v>
      </c>
      <c r="CK52" t="e">
        <f>AND(Birds!AK20,"AAAAAHfy+Vg=")</f>
        <v>#VALUE!</v>
      </c>
      <c r="CL52" t="e">
        <f>AND(Birds!AL20,"AAAAAHfy+Vk=")</f>
        <v>#VALUE!</v>
      </c>
      <c r="CM52" t="e">
        <f>AND(Birds!AM20,"AAAAAHfy+Vo=")</f>
        <v>#VALUE!</v>
      </c>
      <c r="CN52" t="e">
        <f>AND(Birds!AN20,"AAAAAHfy+Vs=")</f>
        <v>#VALUE!</v>
      </c>
      <c r="CO52" t="e">
        <f>AND(Birds!AO20,"AAAAAHfy+Vw=")</f>
        <v>#VALUE!</v>
      </c>
      <c r="CP52" t="e">
        <f>AND(Birds!AP20,"AAAAAHfy+V0=")</f>
        <v>#VALUE!</v>
      </c>
      <c r="CQ52" t="e">
        <f>AND(Birds!AQ20,"AAAAAHfy+V4=")</f>
        <v>#VALUE!</v>
      </c>
      <c r="CR52" t="e">
        <f>AND(Birds!AR20,"AAAAAHfy+V8=")</f>
        <v>#VALUE!</v>
      </c>
      <c r="CS52" t="e">
        <f>AND(Birds!AS20,"AAAAAHfy+WA=")</f>
        <v>#VALUE!</v>
      </c>
      <c r="CT52" t="e">
        <f>AND(Birds!AT20,"AAAAAHfy+WE=")</f>
        <v>#VALUE!</v>
      </c>
      <c r="CU52" t="e">
        <f>AND(Birds!AU20,"AAAAAHfy+WI=")</f>
        <v>#VALUE!</v>
      </c>
      <c r="CV52" t="e">
        <f>AND(Birds!AV20,"AAAAAHfy+WM=")</f>
        <v>#VALUE!</v>
      </c>
      <c r="CW52" t="e">
        <f>AND(Birds!AW20,"AAAAAHfy+WQ=")</f>
        <v>#VALUE!</v>
      </c>
      <c r="CX52" t="e">
        <f>AND(Birds!AX20,"AAAAAHfy+WU=")</f>
        <v>#VALUE!</v>
      </c>
      <c r="CY52" t="e">
        <f>AND(Birds!AY20,"AAAAAHfy+WY=")</f>
        <v>#VALUE!</v>
      </c>
      <c r="CZ52" t="e">
        <f>AND(Birds!AZ20,"AAAAAHfy+Wc=")</f>
        <v>#VALUE!</v>
      </c>
      <c r="DA52" t="e">
        <f>AND(Birds!BA20,"AAAAAHfy+Wg=")</f>
        <v>#VALUE!</v>
      </c>
      <c r="DB52" t="e">
        <f>AND(Birds!BB20,"AAAAAHfy+Wk=")</f>
        <v>#VALUE!</v>
      </c>
      <c r="DC52" t="e">
        <f>AND(Birds!BC20,"AAAAAHfy+Wo=")</f>
        <v>#VALUE!</v>
      </c>
      <c r="DD52" t="e">
        <f>AND(Birds!BD20,"AAAAAHfy+Ws=")</f>
        <v>#VALUE!</v>
      </c>
      <c r="DE52" t="e">
        <f>AND(Birds!BE20,"AAAAAHfy+Ww=")</f>
        <v>#VALUE!</v>
      </c>
      <c r="DF52" t="e">
        <f>AND(Birds!BF20,"AAAAAHfy+W0=")</f>
        <v>#VALUE!</v>
      </c>
      <c r="DG52" t="e">
        <f>AND(Birds!BG20,"AAAAAHfy+W4=")</f>
        <v>#VALUE!</v>
      </c>
      <c r="DH52" t="e">
        <f>AND(Birds!BH20,"AAAAAHfy+W8=")</f>
        <v>#VALUE!</v>
      </c>
      <c r="DI52" t="e">
        <f>AND(Birds!BI20,"AAAAAHfy+XA=")</f>
        <v>#VALUE!</v>
      </c>
      <c r="DJ52" t="e">
        <f>AND(Birds!BJ20,"AAAAAHfy+XE=")</f>
        <v>#VALUE!</v>
      </c>
      <c r="DK52" t="e">
        <f>AND(Birds!BK20,"AAAAAHfy+XI=")</f>
        <v>#VALUE!</v>
      </c>
      <c r="DL52" t="e">
        <f>AND(Birds!BL20,"AAAAAHfy+XM=")</f>
        <v>#VALUE!</v>
      </c>
      <c r="DM52" t="e">
        <f>AND(Birds!BM20,"AAAAAHfy+XQ=")</f>
        <v>#VALUE!</v>
      </c>
      <c r="DN52" t="e">
        <f>AND(Birds!BN20,"AAAAAHfy+XU=")</f>
        <v>#VALUE!</v>
      </c>
      <c r="DO52" t="e">
        <f>AND(Birds!BO20,"AAAAAHfy+XY=")</f>
        <v>#VALUE!</v>
      </c>
      <c r="DP52" t="e">
        <f>AND(Birds!BP20,"AAAAAHfy+Xc=")</f>
        <v>#VALUE!</v>
      </c>
      <c r="DQ52" t="e">
        <f>AND(Birds!BQ20,"AAAAAHfy+Xg=")</f>
        <v>#VALUE!</v>
      </c>
      <c r="DR52" t="e">
        <f>AND(Birds!BR20,"AAAAAHfy+Xk=")</f>
        <v>#VALUE!</v>
      </c>
      <c r="DS52" t="e">
        <f>AND(Birds!BS20,"AAAAAHfy+Xo=")</f>
        <v>#VALUE!</v>
      </c>
      <c r="DT52" t="e">
        <f>AND(Birds!BT20,"AAAAAHfy+Xs=")</f>
        <v>#VALUE!</v>
      </c>
      <c r="DU52" t="e">
        <f>AND(Birds!BU20,"AAAAAHfy+Xw=")</f>
        <v>#VALUE!</v>
      </c>
      <c r="DV52" t="e">
        <f>AND(Birds!BV20,"AAAAAHfy+X0=")</f>
        <v>#VALUE!</v>
      </c>
      <c r="DW52" t="e">
        <f>AND(Birds!BW20,"AAAAAHfy+X4=")</f>
        <v>#VALUE!</v>
      </c>
      <c r="DX52" t="e">
        <f>AND(Birds!BX20,"AAAAAHfy+X8=")</f>
        <v>#VALUE!</v>
      </c>
      <c r="DY52" t="e">
        <f>AND(Birds!BY20,"AAAAAHfy+YA=")</f>
        <v>#VALUE!</v>
      </c>
      <c r="DZ52" t="e">
        <f>AND(Birds!BZ20,"AAAAAHfy+YE=")</f>
        <v>#VALUE!</v>
      </c>
      <c r="EA52" t="e">
        <f>AND(Birds!CA20,"AAAAAHfy+YI=")</f>
        <v>#VALUE!</v>
      </c>
      <c r="EB52" t="e">
        <f>AND(Birds!CB20,"AAAAAHfy+YM=")</f>
        <v>#VALUE!</v>
      </c>
      <c r="EC52" t="e">
        <f>AND(Birds!CC20,"AAAAAHfy+YQ=")</f>
        <v>#VALUE!</v>
      </c>
      <c r="ED52" t="e">
        <f>AND(Birds!CD20,"AAAAAHfy+YU=")</f>
        <v>#VALUE!</v>
      </c>
      <c r="EE52" t="e">
        <f>AND(Birds!CE20,"AAAAAHfy+YY=")</f>
        <v>#VALUE!</v>
      </c>
      <c r="EF52" t="e">
        <f>AND(Birds!CF20,"AAAAAHfy+Yc=")</f>
        <v>#VALUE!</v>
      </c>
      <c r="EG52" t="e">
        <f>AND(Birds!CG20,"AAAAAHfy+Yg=")</f>
        <v>#VALUE!</v>
      </c>
      <c r="EH52" t="e">
        <f>AND(Birds!CH20,"AAAAAHfy+Yk=")</f>
        <v>#VALUE!</v>
      </c>
      <c r="EI52" t="e">
        <f>AND(Birds!CI20,"AAAAAHfy+Yo=")</f>
        <v>#VALUE!</v>
      </c>
      <c r="EJ52" t="e">
        <f>AND(Birds!CJ20,"AAAAAHfy+Ys=")</f>
        <v>#VALUE!</v>
      </c>
      <c r="EK52" t="e">
        <f>AND(Birds!CK20,"AAAAAHfy+Yw=")</f>
        <v>#VALUE!</v>
      </c>
      <c r="EL52" t="e">
        <f>AND(Birds!CL20,"AAAAAHfy+Y0=")</f>
        <v>#VALUE!</v>
      </c>
      <c r="EM52" t="e">
        <f>AND(Birds!CM20,"AAAAAHfy+Y4=")</f>
        <v>#VALUE!</v>
      </c>
      <c r="EN52" t="e">
        <f>AND(Birds!CN20,"AAAAAHfy+Y8=")</f>
        <v>#VALUE!</v>
      </c>
      <c r="EO52" t="e">
        <f>AND(Birds!CO20,"AAAAAHfy+ZA=")</f>
        <v>#VALUE!</v>
      </c>
      <c r="EP52" t="e">
        <f>AND(Birds!CP20,"AAAAAHfy+ZE=")</f>
        <v>#VALUE!</v>
      </c>
      <c r="EQ52" t="e">
        <f>AND(Birds!CQ20,"AAAAAHfy+ZI=")</f>
        <v>#VALUE!</v>
      </c>
      <c r="ER52" t="e">
        <f>AND(Birds!CR20,"AAAAAHfy+ZM=")</f>
        <v>#VALUE!</v>
      </c>
      <c r="ES52" t="e">
        <f>AND(Birds!CS20,"AAAAAHfy+ZQ=")</f>
        <v>#VALUE!</v>
      </c>
      <c r="ET52" t="e">
        <f>AND(Birds!CT20,"AAAAAHfy+ZU=")</f>
        <v>#VALUE!</v>
      </c>
      <c r="EU52" t="e">
        <f>AND(Birds!CU20,"AAAAAHfy+ZY=")</f>
        <v>#VALUE!</v>
      </c>
      <c r="EV52" t="e">
        <f>AND(Birds!CV20,"AAAAAHfy+Zc=")</f>
        <v>#VALUE!</v>
      </c>
      <c r="EW52" t="e">
        <f>AND(Birds!CW20,"AAAAAHfy+Zg=")</f>
        <v>#VALUE!</v>
      </c>
      <c r="EX52" t="e">
        <f>AND(Birds!CX20,"AAAAAHfy+Zk=")</f>
        <v>#VALUE!</v>
      </c>
      <c r="EY52" t="e">
        <f>AND(Birds!CY20,"AAAAAHfy+Zo=")</f>
        <v>#VALUE!</v>
      </c>
      <c r="EZ52" t="e">
        <f>AND(Birds!CZ20,"AAAAAHfy+Zs=")</f>
        <v>#VALUE!</v>
      </c>
      <c r="FA52" t="e">
        <f>AND(Birds!DA20,"AAAAAHfy+Zw=")</f>
        <v>#VALUE!</v>
      </c>
      <c r="FB52" t="e">
        <f>AND(Birds!DB20,"AAAAAHfy+Z0=")</f>
        <v>#VALUE!</v>
      </c>
      <c r="FC52" t="e">
        <f>AND(Birds!DC20,"AAAAAHfy+Z4=")</f>
        <v>#VALUE!</v>
      </c>
      <c r="FD52" t="e">
        <f>AND(Birds!DD20,"AAAAAHfy+Z8=")</f>
        <v>#VALUE!</v>
      </c>
      <c r="FE52" t="e">
        <f>AND(Birds!DE20,"AAAAAHfy+aA=")</f>
        <v>#VALUE!</v>
      </c>
      <c r="FF52" t="e">
        <f>AND(Birds!DF20,"AAAAAHfy+aE=")</f>
        <v>#VALUE!</v>
      </c>
      <c r="FG52" t="e">
        <f>AND(Birds!DG20,"AAAAAHfy+aI=")</f>
        <v>#VALUE!</v>
      </c>
      <c r="FH52" t="e">
        <f>AND(Birds!DH20,"AAAAAHfy+aM=")</f>
        <v>#VALUE!</v>
      </c>
      <c r="FI52" t="e">
        <f>AND(Birds!DI20,"AAAAAHfy+aQ=")</f>
        <v>#VALUE!</v>
      </c>
      <c r="FJ52" t="e">
        <f>AND(Birds!DJ20,"AAAAAHfy+aU=")</f>
        <v>#VALUE!</v>
      </c>
      <c r="FK52" t="e">
        <f>AND(Birds!DK20,"AAAAAHfy+aY=")</f>
        <v>#VALUE!</v>
      </c>
      <c r="FL52" t="e">
        <f>AND(Birds!DL20,"AAAAAHfy+ac=")</f>
        <v>#VALUE!</v>
      </c>
      <c r="FM52" t="e">
        <f>AND(Birds!DM20,"AAAAAHfy+ag=")</f>
        <v>#VALUE!</v>
      </c>
      <c r="FN52" t="e">
        <f>AND(Birds!DN20,"AAAAAHfy+ak=")</f>
        <v>#VALUE!</v>
      </c>
      <c r="FO52" t="e">
        <f>AND(Birds!DO20,"AAAAAHfy+ao=")</f>
        <v>#VALUE!</v>
      </c>
      <c r="FP52" t="e">
        <f>AND(Birds!DP20,"AAAAAHfy+as=")</f>
        <v>#VALUE!</v>
      </c>
      <c r="FQ52" t="e">
        <f>AND(Birds!DQ20,"AAAAAHfy+aw=")</f>
        <v>#VALUE!</v>
      </c>
      <c r="FR52" t="e">
        <f>AND(Birds!DR20,"AAAAAHfy+a0=")</f>
        <v>#VALUE!</v>
      </c>
      <c r="FS52" t="e">
        <f>AND(Birds!DS20,"AAAAAHfy+a4=")</f>
        <v>#VALUE!</v>
      </c>
      <c r="FT52" t="e">
        <f>AND(Birds!DT20,"AAAAAHfy+a8=")</f>
        <v>#VALUE!</v>
      </c>
      <c r="FU52" t="e">
        <f>AND(Birds!DU20,"AAAAAHfy+bA=")</f>
        <v>#VALUE!</v>
      </c>
      <c r="FV52" t="e">
        <f>AND(Birds!DV20,"AAAAAHfy+bE=")</f>
        <v>#VALUE!</v>
      </c>
      <c r="FW52" t="e">
        <f>AND(Birds!DW20,"AAAAAHfy+bI=")</f>
        <v>#VALUE!</v>
      </c>
      <c r="FX52" t="e">
        <f>AND(Birds!DX20,"AAAAAHfy+bM=")</f>
        <v>#VALUE!</v>
      </c>
      <c r="FY52" t="e">
        <f>AND(Birds!DY20,"AAAAAHfy+bQ=")</f>
        <v>#VALUE!</v>
      </c>
      <c r="FZ52" t="e">
        <f>AND(Birds!DZ20,"AAAAAHfy+bU=")</f>
        <v>#VALUE!</v>
      </c>
      <c r="GA52" t="e">
        <f>AND(Birds!EA20,"AAAAAHfy+bY=")</f>
        <v>#VALUE!</v>
      </c>
      <c r="GB52" t="e">
        <f>AND(Birds!EB20,"AAAAAHfy+bc=")</f>
        <v>#VALUE!</v>
      </c>
      <c r="GC52" t="e">
        <f>AND(Birds!EC20,"AAAAAHfy+bg=")</f>
        <v>#VALUE!</v>
      </c>
      <c r="GD52" t="e">
        <f>AND(Birds!ED20,"AAAAAHfy+bk=")</f>
        <v>#VALUE!</v>
      </c>
      <c r="GE52" t="e">
        <f>AND(Birds!EE20,"AAAAAHfy+bo=")</f>
        <v>#VALUE!</v>
      </c>
      <c r="GF52" t="e">
        <f>AND(Birds!EF20,"AAAAAHfy+bs=")</f>
        <v>#VALUE!</v>
      </c>
      <c r="GG52" t="e">
        <f>AND(Birds!EG20,"AAAAAHfy+bw=")</f>
        <v>#VALUE!</v>
      </c>
      <c r="GH52" t="e">
        <f>AND(Birds!EH20,"AAAAAHfy+b0=")</f>
        <v>#VALUE!</v>
      </c>
      <c r="GI52" t="e">
        <f>AND(Birds!EI20,"AAAAAHfy+b4=")</f>
        <v>#VALUE!</v>
      </c>
      <c r="GJ52" t="e">
        <f>AND(Birds!EJ20,"AAAAAHfy+b8=")</f>
        <v>#VALUE!</v>
      </c>
      <c r="GK52" t="e">
        <f>AND(Birds!EK20,"AAAAAHfy+cA=")</f>
        <v>#VALUE!</v>
      </c>
      <c r="GL52" t="e">
        <f>AND(Birds!EL20,"AAAAAHfy+cE=")</f>
        <v>#VALUE!</v>
      </c>
      <c r="GM52" t="e">
        <f>AND(Birds!EM20,"AAAAAHfy+cI=")</f>
        <v>#VALUE!</v>
      </c>
      <c r="GN52" t="e">
        <f>AND(Birds!EN20,"AAAAAHfy+cM=")</f>
        <v>#VALUE!</v>
      </c>
      <c r="GO52" t="e">
        <f>AND(Birds!EO20,"AAAAAHfy+cQ=")</f>
        <v>#VALUE!</v>
      </c>
      <c r="GP52" t="e">
        <f>AND(Birds!EP20,"AAAAAHfy+cU=")</f>
        <v>#VALUE!</v>
      </c>
      <c r="GQ52" t="e">
        <f>AND(Birds!EQ20,"AAAAAHfy+cY=")</f>
        <v>#VALUE!</v>
      </c>
      <c r="GR52" t="e">
        <f>AND(Birds!ER20,"AAAAAHfy+cc=")</f>
        <v>#VALUE!</v>
      </c>
      <c r="GS52" t="e">
        <f>AND(Birds!ES20,"AAAAAHfy+cg=")</f>
        <v>#VALUE!</v>
      </c>
      <c r="GT52" t="e">
        <f>AND(Birds!ET20,"AAAAAHfy+ck=")</f>
        <v>#VALUE!</v>
      </c>
      <c r="GU52" t="e">
        <f>AND(Birds!EU20,"AAAAAHfy+co=")</f>
        <v>#VALUE!</v>
      </c>
      <c r="GV52" t="e">
        <f>AND(Birds!EV20,"AAAAAHfy+cs=")</f>
        <v>#VALUE!</v>
      </c>
      <c r="GW52" t="e">
        <f>AND(Birds!EW20,"AAAAAHfy+cw=")</f>
        <v>#VALUE!</v>
      </c>
      <c r="GX52" t="e">
        <f>AND(Birds!EX20,"AAAAAHfy+c0=")</f>
        <v>#VALUE!</v>
      </c>
      <c r="GY52" t="e">
        <f>AND(Birds!EY20,"AAAAAHfy+c4=")</f>
        <v>#VALUE!</v>
      </c>
      <c r="GZ52" t="e">
        <f>AND(Birds!EZ20,"AAAAAHfy+c8=")</f>
        <v>#VALUE!</v>
      </c>
      <c r="HA52" t="e">
        <f>AND(Birds!FA20,"AAAAAHfy+dA=")</f>
        <v>#VALUE!</v>
      </c>
      <c r="HB52" t="e">
        <f>AND(Birds!FB20,"AAAAAHfy+dE=")</f>
        <v>#VALUE!</v>
      </c>
      <c r="HC52" t="e">
        <f>AND(Birds!FC20,"AAAAAHfy+dI=")</f>
        <v>#VALUE!</v>
      </c>
      <c r="HD52" t="e">
        <f>AND(Birds!FD20,"AAAAAHfy+dM=")</f>
        <v>#VALUE!</v>
      </c>
      <c r="HE52" t="e">
        <f>AND(Birds!FE20,"AAAAAHfy+dQ=")</f>
        <v>#VALUE!</v>
      </c>
      <c r="HF52" t="e">
        <f>AND(Birds!FF20,"AAAAAHfy+dU=")</f>
        <v>#VALUE!</v>
      </c>
      <c r="HG52" t="e">
        <f>AND(Birds!FG20,"AAAAAHfy+dY=")</f>
        <v>#VALUE!</v>
      </c>
      <c r="HH52" t="e">
        <f>AND(Birds!FH20,"AAAAAHfy+dc=")</f>
        <v>#VALUE!</v>
      </c>
      <c r="HI52" t="e">
        <f>AND(Birds!FI20,"AAAAAHfy+dg=")</f>
        <v>#VALUE!</v>
      </c>
      <c r="HJ52" t="e">
        <f>AND(Birds!FJ20,"AAAAAHfy+dk=")</f>
        <v>#VALUE!</v>
      </c>
      <c r="HK52" t="e">
        <f>AND(Birds!FK20,"AAAAAHfy+do=")</f>
        <v>#VALUE!</v>
      </c>
      <c r="HL52" t="e">
        <f>AND(Birds!FL20,"AAAAAHfy+ds=")</f>
        <v>#VALUE!</v>
      </c>
      <c r="HM52" t="e">
        <f>AND(Birds!FM20,"AAAAAHfy+dw=")</f>
        <v>#VALUE!</v>
      </c>
      <c r="HN52" t="e">
        <f>AND(Birds!FN20,"AAAAAHfy+d0=")</f>
        <v>#VALUE!</v>
      </c>
      <c r="HO52" t="e">
        <f>AND(Birds!FO20,"AAAAAHfy+d4=")</f>
        <v>#VALUE!</v>
      </c>
      <c r="HP52" t="e">
        <f>AND(Birds!FP20,"AAAAAHfy+d8=")</f>
        <v>#VALUE!</v>
      </c>
      <c r="HQ52" t="e">
        <f>AND(Birds!FQ20,"AAAAAHfy+eA=")</f>
        <v>#VALUE!</v>
      </c>
      <c r="HR52" t="e">
        <f>AND(Birds!FR20,"AAAAAHfy+eE=")</f>
        <v>#VALUE!</v>
      </c>
      <c r="HS52" t="e">
        <f>AND(Birds!FS20,"AAAAAHfy+eI=")</f>
        <v>#VALUE!</v>
      </c>
      <c r="HT52" t="e">
        <f>AND(Birds!FT20,"AAAAAHfy+eM=")</f>
        <v>#VALUE!</v>
      </c>
      <c r="HU52" t="e">
        <f>AND(Birds!FU20,"AAAAAHfy+eQ=")</f>
        <v>#VALUE!</v>
      </c>
      <c r="HV52" t="e">
        <f>AND(Birds!FV20,"AAAAAHfy+eU=")</f>
        <v>#VALUE!</v>
      </c>
      <c r="HW52" t="e">
        <f>AND(Birds!FW20,"AAAAAHfy+eY=")</f>
        <v>#VALUE!</v>
      </c>
      <c r="HX52" t="e">
        <f>AND(Birds!FX20,"AAAAAHfy+ec=")</f>
        <v>#VALUE!</v>
      </c>
      <c r="HY52" t="e">
        <f>AND(Birds!FY20,"AAAAAHfy+eg=")</f>
        <v>#VALUE!</v>
      </c>
      <c r="HZ52" t="e">
        <f>AND(Birds!FZ20,"AAAAAHfy+ek=")</f>
        <v>#VALUE!</v>
      </c>
      <c r="IA52" t="e">
        <f>AND(Birds!GA20,"AAAAAHfy+eo=")</f>
        <v>#VALUE!</v>
      </c>
      <c r="IB52" t="e">
        <f>AND(Birds!GB20,"AAAAAHfy+es=")</f>
        <v>#VALUE!</v>
      </c>
      <c r="IC52" t="e">
        <f>AND(Birds!GC20,"AAAAAHfy+ew=")</f>
        <v>#VALUE!</v>
      </c>
      <c r="ID52" t="e">
        <f>AND(Birds!GD20,"AAAAAHfy+e0=")</f>
        <v>#VALUE!</v>
      </c>
      <c r="IE52" t="e">
        <f>AND(Birds!GE20,"AAAAAHfy+e4=")</f>
        <v>#VALUE!</v>
      </c>
      <c r="IF52" t="e">
        <f>AND(Birds!GF20,"AAAAAHfy+e8=")</f>
        <v>#VALUE!</v>
      </c>
      <c r="IG52" t="e">
        <f>AND(Birds!GG20,"AAAAAHfy+fA=")</f>
        <v>#VALUE!</v>
      </c>
      <c r="IH52" t="e">
        <f>AND(Birds!GH20,"AAAAAHfy+fE=")</f>
        <v>#VALUE!</v>
      </c>
      <c r="II52" t="e">
        <f>AND(Birds!GI20,"AAAAAHfy+fI=")</f>
        <v>#VALUE!</v>
      </c>
      <c r="IJ52" t="e">
        <f>AND(Birds!GJ20,"AAAAAHfy+fM=")</f>
        <v>#VALUE!</v>
      </c>
      <c r="IK52" t="e">
        <f>AND(Birds!GK20,"AAAAAHfy+fQ=")</f>
        <v>#VALUE!</v>
      </c>
      <c r="IL52" t="e">
        <f>AND(Birds!GL20,"AAAAAHfy+fU=")</f>
        <v>#VALUE!</v>
      </c>
      <c r="IM52" t="e">
        <f>AND(Birds!GM20,"AAAAAHfy+fY=")</f>
        <v>#VALUE!</v>
      </c>
      <c r="IN52">
        <f>IF(Birds!21:21,"AAAAAHfy+fc=",0)</f>
        <v>0</v>
      </c>
      <c r="IO52" t="e">
        <f>AND(Birds!A21,"AAAAAHfy+fg=")</f>
        <v>#VALUE!</v>
      </c>
      <c r="IP52" t="e">
        <f>AND(Birds!B21,"AAAAAHfy+fk=")</f>
        <v>#VALUE!</v>
      </c>
      <c r="IQ52" t="e">
        <f>AND(Birds!C21,"AAAAAHfy+fo=")</f>
        <v>#VALUE!</v>
      </c>
      <c r="IR52" t="e">
        <f>AND(Birds!D21,"AAAAAHfy+fs=")</f>
        <v>#VALUE!</v>
      </c>
      <c r="IS52" t="e">
        <f>AND(Birds!E21,"AAAAAHfy+fw=")</f>
        <v>#VALUE!</v>
      </c>
      <c r="IT52" t="e">
        <f>AND(Birds!F21,"AAAAAHfy+f0=")</f>
        <v>#VALUE!</v>
      </c>
      <c r="IU52" t="e">
        <f>AND(Birds!G21,"AAAAAHfy+f4=")</f>
        <v>#VALUE!</v>
      </c>
      <c r="IV52" t="e">
        <f>AND(Birds!H21,"AAAAAHfy+f8=")</f>
        <v>#VALUE!</v>
      </c>
    </row>
    <row r="53" spans="1:256">
      <c r="A53" t="e">
        <f>AND(Birds!I21,"AAAAAH/79QA=")</f>
        <v>#VALUE!</v>
      </c>
      <c r="B53" t="e">
        <f>AND(Birds!J21,"AAAAAH/79QE=")</f>
        <v>#VALUE!</v>
      </c>
      <c r="C53" t="e">
        <f>AND(Birds!K21,"AAAAAH/79QI=")</f>
        <v>#VALUE!</v>
      </c>
      <c r="D53" t="e">
        <f>AND(Birds!L21,"AAAAAH/79QM=")</f>
        <v>#VALUE!</v>
      </c>
      <c r="E53" t="e">
        <f>AND(Birds!M21,"AAAAAH/79QQ=")</f>
        <v>#VALUE!</v>
      </c>
      <c r="F53" t="e">
        <f>AND(Birds!N21,"AAAAAH/79QU=")</f>
        <v>#VALUE!</v>
      </c>
      <c r="G53" t="e">
        <f>AND(Birds!O21,"AAAAAH/79QY=")</f>
        <v>#VALUE!</v>
      </c>
      <c r="H53" t="e">
        <f>AND(Birds!P21,"AAAAAH/79Qc=")</f>
        <v>#VALUE!</v>
      </c>
      <c r="I53" t="e">
        <f>AND(Birds!Q21,"AAAAAH/79Qg=")</f>
        <v>#VALUE!</v>
      </c>
      <c r="J53" t="e">
        <f>AND(Birds!R21,"AAAAAH/79Qk=")</f>
        <v>#VALUE!</v>
      </c>
      <c r="K53" t="e">
        <f>AND(Birds!S21,"AAAAAH/79Qo=")</f>
        <v>#VALUE!</v>
      </c>
      <c r="L53" t="e">
        <f>AND(Birds!T21,"AAAAAH/79Qs=")</f>
        <v>#VALUE!</v>
      </c>
      <c r="M53" t="e">
        <f>AND(Birds!U21,"AAAAAH/79Qw=")</f>
        <v>#VALUE!</v>
      </c>
      <c r="N53" t="e">
        <f>AND(Birds!V21,"AAAAAH/79Q0=")</f>
        <v>#VALUE!</v>
      </c>
      <c r="O53" t="e">
        <f>AND(Birds!W21,"AAAAAH/79Q4=")</f>
        <v>#VALUE!</v>
      </c>
      <c r="P53" t="e">
        <f>AND(Birds!X21,"AAAAAH/79Q8=")</f>
        <v>#VALUE!</v>
      </c>
      <c r="Q53" t="e">
        <f>AND(Birds!Y21,"AAAAAH/79RA=")</f>
        <v>#VALUE!</v>
      </c>
      <c r="R53" t="e">
        <f>AND(Birds!Z21,"AAAAAH/79RE=")</f>
        <v>#VALUE!</v>
      </c>
      <c r="S53" t="e">
        <f>AND(Birds!AA21,"AAAAAH/79RI=")</f>
        <v>#VALUE!</v>
      </c>
      <c r="T53" t="e">
        <f>AND(Birds!AB21,"AAAAAH/79RM=")</f>
        <v>#VALUE!</v>
      </c>
      <c r="U53" t="e">
        <f>AND(Birds!AC21,"AAAAAH/79RQ=")</f>
        <v>#VALUE!</v>
      </c>
      <c r="V53" t="e">
        <f>AND(Birds!AD21,"AAAAAH/79RU=")</f>
        <v>#VALUE!</v>
      </c>
      <c r="W53" t="e">
        <f>AND(Birds!AE21,"AAAAAH/79RY=")</f>
        <v>#VALUE!</v>
      </c>
      <c r="X53" t="e">
        <f>AND(Birds!AF21,"AAAAAH/79Rc=")</f>
        <v>#VALUE!</v>
      </c>
      <c r="Y53" t="e">
        <f>AND(Birds!AG21,"AAAAAH/79Rg=")</f>
        <v>#VALUE!</v>
      </c>
      <c r="Z53" t="e">
        <f>AND(Birds!AH21,"AAAAAH/79Rk=")</f>
        <v>#VALUE!</v>
      </c>
      <c r="AA53" t="e">
        <f>AND(Birds!AI21,"AAAAAH/79Ro=")</f>
        <v>#VALUE!</v>
      </c>
      <c r="AB53" t="e">
        <f>AND(Birds!AJ21,"AAAAAH/79Rs=")</f>
        <v>#VALUE!</v>
      </c>
      <c r="AC53" t="e">
        <f>AND(Birds!AK21,"AAAAAH/79Rw=")</f>
        <v>#VALUE!</v>
      </c>
      <c r="AD53" t="e">
        <f>AND(Birds!AL21,"AAAAAH/79R0=")</f>
        <v>#VALUE!</v>
      </c>
      <c r="AE53" t="e">
        <f>AND(Birds!AM21,"AAAAAH/79R4=")</f>
        <v>#VALUE!</v>
      </c>
      <c r="AF53" t="e">
        <f>AND(Birds!AN21,"AAAAAH/79R8=")</f>
        <v>#VALUE!</v>
      </c>
      <c r="AG53" t="e">
        <f>AND(Birds!AO21,"AAAAAH/79SA=")</f>
        <v>#VALUE!</v>
      </c>
      <c r="AH53" t="e">
        <f>AND(Birds!AP21,"AAAAAH/79SE=")</f>
        <v>#VALUE!</v>
      </c>
      <c r="AI53" t="e">
        <f>AND(Birds!AQ21,"AAAAAH/79SI=")</f>
        <v>#VALUE!</v>
      </c>
      <c r="AJ53" t="e">
        <f>AND(Birds!AR21,"AAAAAH/79SM=")</f>
        <v>#VALUE!</v>
      </c>
      <c r="AK53" t="e">
        <f>AND(Birds!AS21,"AAAAAH/79SQ=")</f>
        <v>#VALUE!</v>
      </c>
      <c r="AL53" t="e">
        <f>AND(Birds!AT21,"AAAAAH/79SU=")</f>
        <v>#VALUE!</v>
      </c>
      <c r="AM53" t="e">
        <f>AND(Birds!AU21,"AAAAAH/79SY=")</f>
        <v>#VALUE!</v>
      </c>
      <c r="AN53" t="e">
        <f>AND(Birds!AV21,"AAAAAH/79Sc=")</f>
        <v>#VALUE!</v>
      </c>
      <c r="AO53" t="e">
        <f>AND(Birds!AW21,"AAAAAH/79Sg=")</f>
        <v>#VALUE!</v>
      </c>
      <c r="AP53" t="e">
        <f>AND(Birds!AX21,"AAAAAH/79Sk=")</f>
        <v>#VALUE!</v>
      </c>
      <c r="AQ53" t="e">
        <f>AND(Birds!AY21,"AAAAAH/79So=")</f>
        <v>#VALUE!</v>
      </c>
      <c r="AR53" t="e">
        <f>AND(Birds!AZ21,"AAAAAH/79Ss=")</f>
        <v>#VALUE!</v>
      </c>
      <c r="AS53" t="e">
        <f>AND(Birds!BA21,"AAAAAH/79Sw=")</f>
        <v>#VALUE!</v>
      </c>
      <c r="AT53" t="e">
        <f>AND(Birds!BB21,"AAAAAH/79S0=")</f>
        <v>#VALUE!</v>
      </c>
      <c r="AU53" t="e">
        <f>AND(Birds!BC21,"AAAAAH/79S4=")</f>
        <v>#VALUE!</v>
      </c>
      <c r="AV53" t="e">
        <f>AND(Birds!BD21,"AAAAAH/79S8=")</f>
        <v>#VALUE!</v>
      </c>
      <c r="AW53" t="e">
        <f>AND(Birds!BE21,"AAAAAH/79TA=")</f>
        <v>#VALUE!</v>
      </c>
      <c r="AX53" t="e">
        <f>AND(Birds!BF21,"AAAAAH/79TE=")</f>
        <v>#VALUE!</v>
      </c>
      <c r="AY53" t="e">
        <f>AND(Birds!BG21,"AAAAAH/79TI=")</f>
        <v>#VALUE!</v>
      </c>
      <c r="AZ53" t="e">
        <f>AND(Birds!BH21,"AAAAAH/79TM=")</f>
        <v>#VALUE!</v>
      </c>
      <c r="BA53" t="e">
        <f>AND(Birds!BI21,"AAAAAH/79TQ=")</f>
        <v>#VALUE!</v>
      </c>
      <c r="BB53" t="e">
        <f>AND(Birds!BJ21,"AAAAAH/79TU=")</f>
        <v>#VALUE!</v>
      </c>
      <c r="BC53" t="e">
        <f>AND(Birds!BK21,"AAAAAH/79TY=")</f>
        <v>#VALUE!</v>
      </c>
      <c r="BD53" t="e">
        <f>AND(Birds!BL21,"AAAAAH/79Tc=")</f>
        <v>#VALUE!</v>
      </c>
      <c r="BE53" t="e">
        <f>AND(Birds!BM21,"AAAAAH/79Tg=")</f>
        <v>#VALUE!</v>
      </c>
      <c r="BF53" t="e">
        <f>AND(Birds!BN21,"AAAAAH/79Tk=")</f>
        <v>#VALUE!</v>
      </c>
      <c r="BG53" t="e">
        <f>AND(Birds!BO21,"AAAAAH/79To=")</f>
        <v>#VALUE!</v>
      </c>
      <c r="BH53" t="e">
        <f>AND(Birds!BP21,"AAAAAH/79Ts=")</f>
        <v>#VALUE!</v>
      </c>
      <c r="BI53" t="e">
        <f>AND(Birds!BQ21,"AAAAAH/79Tw=")</f>
        <v>#VALUE!</v>
      </c>
      <c r="BJ53" t="e">
        <f>AND(Birds!BR21,"AAAAAH/79T0=")</f>
        <v>#VALUE!</v>
      </c>
      <c r="BK53" t="e">
        <f>AND(Birds!BS21,"AAAAAH/79T4=")</f>
        <v>#VALUE!</v>
      </c>
      <c r="BL53" t="e">
        <f>AND(Birds!BT21,"AAAAAH/79T8=")</f>
        <v>#VALUE!</v>
      </c>
      <c r="BM53" t="e">
        <f>AND(Birds!BU21,"AAAAAH/79UA=")</f>
        <v>#VALUE!</v>
      </c>
      <c r="BN53" t="e">
        <f>AND(Birds!BV21,"AAAAAH/79UE=")</f>
        <v>#VALUE!</v>
      </c>
      <c r="BO53" t="e">
        <f>AND(Birds!BW21,"AAAAAH/79UI=")</f>
        <v>#VALUE!</v>
      </c>
      <c r="BP53" t="e">
        <f>AND(Birds!BX21,"AAAAAH/79UM=")</f>
        <v>#VALUE!</v>
      </c>
      <c r="BQ53" t="e">
        <f>AND(Birds!BY21,"AAAAAH/79UQ=")</f>
        <v>#VALUE!</v>
      </c>
      <c r="BR53" t="e">
        <f>AND(Birds!BZ21,"AAAAAH/79UU=")</f>
        <v>#VALUE!</v>
      </c>
      <c r="BS53" t="e">
        <f>AND(Birds!CA21,"AAAAAH/79UY=")</f>
        <v>#VALUE!</v>
      </c>
      <c r="BT53" t="e">
        <f>AND(Birds!CB21,"AAAAAH/79Uc=")</f>
        <v>#VALUE!</v>
      </c>
      <c r="BU53" t="e">
        <f>AND(Birds!CC21,"AAAAAH/79Ug=")</f>
        <v>#VALUE!</v>
      </c>
      <c r="BV53" t="e">
        <f>AND(Birds!CD21,"AAAAAH/79Uk=")</f>
        <v>#VALUE!</v>
      </c>
      <c r="BW53" t="e">
        <f>AND(Birds!CE21,"AAAAAH/79Uo=")</f>
        <v>#VALUE!</v>
      </c>
      <c r="BX53" t="e">
        <f>AND(Birds!CF21,"AAAAAH/79Us=")</f>
        <v>#VALUE!</v>
      </c>
      <c r="BY53" t="e">
        <f>AND(Birds!CG21,"AAAAAH/79Uw=")</f>
        <v>#VALUE!</v>
      </c>
      <c r="BZ53" t="e">
        <f>AND(Birds!CH21,"AAAAAH/79U0=")</f>
        <v>#VALUE!</v>
      </c>
      <c r="CA53" t="e">
        <f>AND(Birds!CI21,"AAAAAH/79U4=")</f>
        <v>#VALUE!</v>
      </c>
      <c r="CB53" t="e">
        <f>AND(Birds!CJ21,"AAAAAH/79U8=")</f>
        <v>#VALUE!</v>
      </c>
      <c r="CC53" t="e">
        <f>AND(Birds!CK21,"AAAAAH/79VA=")</f>
        <v>#VALUE!</v>
      </c>
      <c r="CD53" t="e">
        <f>AND(Birds!CL21,"AAAAAH/79VE=")</f>
        <v>#VALUE!</v>
      </c>
      <c r="CE53" t="e">
        <f>AND(Birds!CM21,"AAAAAH/79VI=")</f>
        <v>#VALUE!</v>
      </c>
      <c r="CF53" t="e">
        <f>AND(Birds!CN21,"AAAAAH/79VM=")</f>
        <v>#VALUE!</v>
      </c>
      <c r="CG53" t="e">
        <f>AND(Birds!CO21,"AAAAAH/79VQ=")</f>
        <v>#VALUE!</v>
      </c>
      <c r="CH53" t="e">
        <f>AND(Birds!CP21,"AAAAAH/79VU=")</f>
        <v>#VALUE!</v>
      </c>
      <c r="CI53" t="e">
        <f>AND(Birds!CQ21,"AAAAAH/79VY=")</f>
        <v>#VALUE!</v>
      </c>
      <c r="CJ53" t="e">
        <f>AND(Birds!CR21,"AAAAAH/79Vc=")</f>
        <v>#VALUE!</v>
      </c>
      <c r="CK53" t="e">
        <f>AND(Birds!CS21,"AAAAAH/79Vg=")</f>
        <v>#VALUE!</v>
      </c>
      <c r="CL53" t="e">
        <f>AND(Birds!CT21,"AAAAAH/79Vk=")</f>
        <v>#VALUE!</v>
      </c>
      <c r="CM53" t="e">
        <f>AND(Birds!CU21,"AAAAAH/79Vo=")</f>
        <v>#VALUE!</v>
      </c>
      <c r="CN53" t="e">
        <f>AND(Birds!CV21,"AAAAAH/79Vs=")</f>
        <v>#VALUE!</v>
      </c>
      <c r="CO53" t="e">
        <f>AND(Birds!CW21,"AAAAAH/79Vw=")</f>
        <v>#VALUE!</v>
      </c>
      <c r="CP53" t="e">
        <f>AND(Birds!CX21,"AAAAAH/79V0=")</f>
        <v>#VALUE!</v>
      </c>
      <c r="CQ53" t="e">
        <f>AND(Birds!CY21,"AAAAAH/79V4=")</f>
        <v>#VALUE!</v>
      </c>
      <c r="CR53" t="e">
        <f>AND(Birds!CZ21,"AAAAAH/79V8=")</f>
        <v>#VALUE!</v>
      </c>
      <c r="CS53" t="e">
        <f>AND(Birds!DA21,"AAAAAH/79WA=")</f>
        <v>#VALUE!</v>
      </c>
      <c r="CT53" t="e">
        <f>AND(Birds!DB21,"AAAAAH/79WE=")</f>
        <v>#VALUE!</v>
      </c>
      <c r="CU53" t="e">
        <f>AND(Birds!DC21,"AAAAAH/79WI=")</f>
        <v>#VALUE!</v>
      </c>
      <c r="CV53" t="e">
        <f>AND(Birds!DD21,"AAAAAH/79WM=")</f>
        <v>#VALUE!</v>
      </c>
      <c r="CW53" t="e">
        <f>AND(Birds!DE21,"AAAAAH/79WQ=")</f>
        <v>#VALUE!</v>
      </c>
      <c r="CX53" t="e">
        <f>AND(Birds!DF21,"AAAAAH/79WU=")</f>
        <v>#VALUE!</v>
      </c>
      <c r="CY53" t="e">
        <f>AND(Birds!DG21,"AAAAAH/79WY=")</f>
        <v>#VALUE!</v>
      </c>
      <c r="CZ53" t="e">
        <f>AND(Birds!DH21,"AAAAAH/79Wc=")</f>
        <v>#VALUE!</v>
      </c>
      <c r="DA53" t="e">
        <f>AND(Birds!DI21,"AAAAAH/79Wg=")</f>
        <v>#VALUE!</v>
      </c>
      <c r="DB53" t="e">
        <f>AND(Birds!DJ21,"AAAAAH/79Wk=")</f>
        <v>#VALUE!</v>
      </c>
      <c r="DC53" t="e">
        <f>AND(Birds!DK21,"AAAAAH/79Wo=")</f>
        <v>#VALUE!</v>
      </c>
      <c r="DD53" t="e">
        <f>AND(Birds!DL21,"AAAAAH/79Ws=")</f>
        <v>#VALUE!</v>
      </c>
      <c r="DE53" t="e">
        <f>AND(Birds!DM21,"AAAAAH/79Ww=")</f>
        <v>#VALUE!</v>
      </c>
      <c r="DF53" t="e">
        <f>AND(Birds!DN21,"AAAAAH/79W0=")</f>
        <v>#VALUE!</v>
      </c>
      <c r="DG53" t="e">
        <f>AND(Birds!DO21,"AAAAAH/79W4=")</f>
        <v>#VALUE!</v>
      </c>
      <c r="DH53" t="e">
        <f>AND(Birds!DP21,"AAAAAH/79W8=")</f>
        <v>#VALUE!</v>
      </c>
      <c r="DI53" t="e">
        <f>AND(Birds!DQ21,"AAAAAH/79XA=")</f>
        <v>#VALUE!</v>
      </c>
      <c r="DJ53" t="e">
        <f>AND(Birds!DR21,"AAAAAH/79XE=")</f>
        <v>#VALUE!</v>
      </c>
      <c r="DK53" t="e">
        <f>AND(Birds!DS21,"AAAAAH/79XI=")</f>
        <v>#VALUE!</v>
      </c>
      <c r="DL53" t="e">
        <f>AND(Birds!DT21,"AAAAAH/79XM=")</f>
        <v>#VALUE!</v>
      </c>
      <c r="DM53" t="e">
        <f>AND(Birds!DU21,"AAAAAH/79XQ=")</f>
        <v>#VALUE!</v>
      </c>
      <c r="DN53" t="e">
        <f>AND(Birds!DV21,"AAAAAH/79XU=")</f>
        <v>#VALUE!</v>
      </c>
      <c r="DO53" t="e">
        <f>AND(Birds!DW21,"AAAAAH/79XY=")</f>
        <v>#VALUE!</v>
      </c>
      <c r="DP53" t="e">
        <f>AND(Birds!DX21,"AAAAAH/79Xc=")</f>
        <v>#VALUE!</v>
      </c>
      <c r="DQ53" t="e">
        <f>AND(Birds!DY21,"AAAAAH/79Xg=")</f>
        <v>#VALUE!</v>
      </c>
      <c r="DR53" t="e">
        <f>AND(Birds!DZ21,"AAAAAH/79Xk=")</f>
        <v>#VALUE!</v>
      </c>
      <c r="DS53" t="e">
        <f>AND(Birds!EA21,"AAAAAH/79Xo=")</f>
        <v>#VALUE!</v>
      </c>
      <c r="DT53" t="e">
        <f>AND(Birds!EB21,"AAAAAH/79Xs=")</f>
        <v>#VALUE!</v>
      </c>
      <c r="DU53" t="e">
        <f>AND(Birds!EC21,"AAAAAH/79Xw=")</f>
        <v>#VALUE!</v>
      </c>
      <c r="DV53" t="e">
        <f>AND(Birds!ED21,"AAAAAH/79X0=")</f>
        <v>#VALUE!</v>
      </c>
      <c r="DW53" t="e">
        <f>AND(Birds!EE21,"AAAAAH/79X4=")</f>
        <v>#VALUE!</v>
      </c>
      <c r="DX53" t="e">
        <f>AND(Birds!EF21,"AAAAAH/79X8=")</f>
        <v>#VALUE!</v>
      </c>
      <c r="DY53" t="e">
        <f>AND(Birds!EG21,"AAAAAH/79YA=")</f>
        <v>#VALUE!</v>
      </c>
      <c r="DZ53" t="e">
        <f>AND(Birds!EH21,"AAAAAH/79YE=")</f>
        <v>#VALUE!</v>
      </c>
      <c r="EA53" t="e">
        <f>AND(Birds!EI21,"AAAAAH/79YI=")</f>
        <v>#VALUE!</v>
      </c>
      <c r="EB53" t="e">
        <f>AND(Birds!EJ21,"AAAAAH/79YM=")</f>
        <v>#VALUE!</v>
      </c>
      <c r="EC53" t="e">
        <f>AND(Birds!EK21,"AAAAAH/79YQ=")</f>
        <v>#VALUE!</v>
      </c>
      <c r="ED53" t="e">
        <f>AND(Birds!EL21,"AAAAAH/79YU=")</f>
        <v>#VALUE!</v>
      </c>
      <c r="EE53" t="e">
        <f>AND(Birds!EM21,"AAAAAH/79YY=")</f>
        <v>#VALUE!</v>
      </c>
      <c r="EF53" t="e">
        <f>AND(Birds!EN21,"AAAAAH/79Yc=")</f>
        <v>#VALUE!</v>
      </c>
      <c r="EG53" t="e">
        <f>AND(Birds!EO21,"AAAAAH/79Yg=")</f>
        <v>#VALUE!</v>
      </c>
      <c r="EH53" t="e">
        <f>AND(Birds!EP21,"AAAAAH/79Yk=")</f>
        <v>#VALUE!</v>
      </c>
      <c r="EI53" t="e">
        <f>AND(Birds!EQ21,"AAAAAH/79Yo=")</f>
        <v>#VALUE!</v>
      </c>
      <c r="EJ53" t="e">
        <f>AND(Birds!ER21,"AAAAAH/79Ys=")</f>
        <v>#VALUE!</v>
      </c>
      <c r="EK53" t="e">
        <f>AND(Birds!ES21,"AAAAAH/79Yw=")</f>
        <v>#VALUE!</v>
      </c>
      <c r="EL53" t="e">
        <f>AND(Birds!ET21,"AAAAAH/79Y0=")</f>
        <v>#VALUE!</v>
      </c>
      <c r="EM53" t="e">
        <f>AND(Birds!EU21,"AAAAAH/79Y4=")</f>
        <v>#VALUE!</v>
      </c>
      <c r="EN53" t="e">
        <f>AND(Birds!EV21,"AAAAAH/79Y8=")</f>
        <v>#VALUE!</v>
      </c>
      <c r="EO53" t="e">
        <f>AND(Birds!EW21,"AAAAAH/79ZA=")</f>
        <v>#VALUE!</v>
      </c>
      <c r="EP53" t="e">
        <f>AND(Birds!EX21,"AAAAAH/79ZE=")</f>
        <v>#VALUE!</v>
      </c>
      <c r="EQ53" t="e">
        <f>AND(Birds!EY21,"AAAAAH/79ZI=")</f>
        <v>#VALUE!</v>
      </c>
      <c r="ER53" t="e">
        <f>AND(Birds!EZ21,"AAAAAH/79ZM=")</f>
        <v>#VALUE!</v>
      </c>
      <c r="ES53" t="e">
        <f>AND(Birds!FA21,"AAAAAH/79ZQ=")</f>
        <v>#VALUE!</v>
      </c>
      <c r="ET53" t="e">
        <f>AND(Birds!FB21,"AAAAAH/79ZU=")</f>
        <v>#VALUE!</v>
      </c>
      <c r="EU53" t="e">
        <f>AND(Birds!FC21,"AAAAAH/79ZY=")</f>
        <v>#VALUE!</v>
      </c>
      <c r="EV53" t="e">
        <f>AND(Birds!FD21,"AAAAAH/79Zc=")</f>
        <v>#VALUE!</v>
      </c>
      <c r="EW53" t="e">
        <f>AND(Birds!FE21,"AAAAAH/79Zg=")</f>
        <v>#VALUE!</v>
      </c>
      <c r="EX53" t="e">
        <f>AND(Birds!FF21,"AAAAAH/79Zk=")</f>
        <v>#VALUE!</v>
      </c>
      <c r="EY53" t="e">
        <f>AND(Birds!FG21,"AAAAAH/79Zo=")</f>
        <v>#VALUE!</v>
      </c>
      <c r="EZ53" t="e">
        <f>AND(Birds!FH21,"AAAAAH/79Zs=")</f>
        <v>#VALUE!</v>
      </c>
      <c r="FA53" t="e">
        <f>AND(Birds!FI21,"AAAAAH/79Zw=")</f>
        <v>#VALUE!</v>
      </c>
      <c r="FB53" t="e">
        <f>AND(Birds!FJ21,"AAAAAH/79Z0=")</f>
        <v>#VALUE!</v>
      </c>
      <c r="FC53" t="e">
        <f>AND(Birds!FK21,"AAAAAH/79Z4=")</f>
        <v>#VALUE!</v>
      </c>
      <c r="FD53" t="e">
        <f>AND(Birds!FL21,"AAAAAH/79Z8=")</f>
        <v>#VALUE!</v>
      </c>
      <c r="FE53" t="e">
        <f>AND(Birds!FM21,"AAAAAH/79aA=")</f>
        <v>#VALUE!</v>
      </c>
      <c r="FF53" t="e">
        <f>AND(Birds!FN21,"AAAAAH/79aE=")</f>
        <v>#VALUE!</v>
      </c>
      <c r="FG53" t="e">
        <f>AND(Birds!FO21,"AAAAAH/79aI=")</f>
        <v>#VALUE!</v>
      </c>
      <c r="FH53" t="e">
        <f>AND(Birds!FP21,"AAAAAH/79aM=")</f>
        <v>#VALUE!</v>
      </c>
      <c r="FI53" t="e">
        <f>AND(Birds!FQ21,"AAAAAH/79aQ=")</f>
        <v>#VALUE!</v>
      </c>
      <c r="FJ53" t="e">
        <f>AND(Birds!FR21,"AAAAAH/79aU=")</f>
        <v>#VALUE!</v>
      </c>
      <c r="FK53" t="e">
        <f>AND(Birds!FS21,"AAAAAH/79aY=")</f>
        <v>#VALUE!</v>
      </c>
      <c r="FL53" t="e">
        <f>AND(Birds!FT21,"AAAAAH/79ac=")</f>
        <v>#VALUE!</v>
      </c>
      <c r="FM53" t="e">
        <f>AND(Birds!FU21,"AAAAAH/79ag=")</f>
        <v>#VALUE!</v>
      </c>
      <c r="FN53" t="e">
        <f>AND(Birds!FV21,"AAAAAH/79ak=")</f>
        <v>#VALUE!</v>
      </c>
      <c r="FO53" t="e">
        <f>AND(Birds!FW21,"AAAAAH/79ao=")</f>
        <v>#VALUE!</v>
      </c>
      <c r="FP53" t="e">
        <f>AND(Birds!FX21,"AAAAAH/79as=")</f>
        <v>#VALUE!</v>
      </c>
      <c r="FQ53" t="e">
        <f>AND(Birds!FY21,"AAAAAH/79aw=")</f>
        <v>#VALUE!</v>
      </c>
      <c r="FR53" t="e">
        <f>AND(Birds!FZ21,"AAAAAH/79a0=")</f>
        <v>#VALUE!</v>
      </c>
      <c r="FS53" t="e">
        <f>AND(Birds!GA21,"AAAAAH/79a4=")</f>
        <v>#VALUE!</v>
      </c>
      <c r="FT53" t="e">
        <f>AND(Birds!GB21,"AAAAAH/79a8=")</f>
        <v>#VALUE!</v>
      </c>
      <c r="FU53" t="e">
        <f>AND(Birds!GC21,"AAAAAH/79bA=")</f>
        <v>#VALUE!</v>
      </c>
      <c r="FV53" t="e">
        <f>AND(Birds!GD21,"AAAAAH/79bE=")</f>
        <v>#VALUE!</v>
      </c>
      <c r="FW53" t="e">
        <f>AND(Birds!GE21,"AAAAAH/79bI=")</f>
        <v>#VALUE!</v>
      </c>
      <c r="FX53" t="e">
        <f>AND(Birds!GF21,"AAAAAH/79bM=")</f>
        <v>#VALUE!</v>
      </c>
      <c r="FY53" t="e">
        <f>AND(Birds!GG21,"AAAAAH/79bQ=")</f>
        <v>#VALUE!</v>
      </c>
      <c r="FZ53" t="e">
        <f>AND(Birds!GH21,"AAAAAH/79bU=")</f>
        <v>#VALUE!</v>
      </c>
      <c r="GA53" t="e">
        <f>AND(Birds!GI21,"AAAAAH/79bY=")</f>
        <v>#VALUE!</v>
      </c>
      <c r="GB53" t="e">
        <f>AND(Birds!GJ21,"AAAAAH/79bc=")</f>
        <v>#VALUE!</v>
      </c>
      <c r="GC53" t="e">
        <f>AND(Birds!GK21,"AAAAAH/79bg=")</f>
        <v>#VALUE!</v>
      </c>
      <c r="GD53" t="e">
        <f>AND(Birds!GL21,"AAAAAH/79bk=")</f>
        <v>#VALUE!</v>
      </c>
      <c r="GE53" t="e">
        <f>AND(Birds!GM21,"AAAAAH/79bo=")</f>
        <v>#VALUE!</v>
      </c>
      <c r="GF53">
        <f>IF(Birds!22:22,"AAAAAH/79bs=",0)</f>
        <v>0</v>
      </c>
      <c r="GG53" t="e">
        <f>AND(Birds!A22,"AAAAAH/79bw=")</f>
        <v>#VALUE!</v>
      </c>
      <c r="GH53" t="e">
        <f>AND(Birds!B22,"AAAAAH/79b0=")</f>
        <v>#VALUE!</v>
      </c>
      <c r="GI53" t="e">
        <f>AND(Birds!C22,"AAAAAH/79b4=")</f>
        <v>#VALUE!</v>
      </c>
      <c r="GJ53" t="e">
        <f>AND(Birds!D22,"AAAAAH/79b8=")</f>
        <v>#VALUE!</v>
      </c>
      <c r="GK53" t="e">
        <f>AND(Birds!E22,"AAAAAH/79cA=")</f>
        <v>#VALUE!</v>
      </c>
      <c r="GL53" t="e">
        <f>AND(Birds!F22,"AAAAAH/79cE=")</f>
        <v>#VALUE!</v>
      </c>
      <c r="GM53" t="e">
        <f>AND(Birds!G22,"AAAAAH/79cI=")</f>
        <v>#VALUE!</v>
      </c>
      <c r="GN53" t="e">
        <f>AND(Birds!H22,"AAAAAH/79cM=")</f>
        <v>#VALUE!</v>
      </c>
      <c r="GO53" t="e">
        <f>AND(Birds!I22,"AAAAAH/79cQ=")</f>
        <v>#VALUE!</v>
      </c>
      <c r="GP53" t="e">
        <f>AND(Birds!J22,"AAAAAH/79cU=")</f>
        <v>#VALUE!</v>
      </c>
      <c r="GQ53" t="e">
        <f>AND(Birds!K22,"AAAAAH/79cY=")</f>
        <v>#VALUE!</v>
      </c>
      <c r="GR53" t="e">
        <f>AND(Birds!L22,"AAAAAH/79cc=")</f>
        <v>#VALUE!</v>
      </c>
      <c r="GS53" t="e">
        <f>AND(Birds!M22,"AAAAAH/79cg=")</f>
        <v>#VALUE!</v>
      </c>
      <c r="GT53" t="e">
        <f>AND(Birds!N22,"AAAAAH/79ck=")</f>
        <v>#VALUE!</v>
      </c>
      <c r="GU53" t="e">
        <f>AND(Birds!O22,"AAAAAH/79co=")</f>
        <v>#VALUE!</v>
      </c>
      <c r="GV53" t="e">
        <f>AND(Birds!P22,"AAAAAH/79cs=")</f>
        <v>#VALUE!</v>
      </c>
      <c r="GW53" t="e">
        <f>AND(Birds!Q22,"AAAAAH/79cw=")</f>
        <v>#VALUE!</v>
      </c>
      <c r="GX53" t="e">
        <f>AND(Birds!R22,"AAAAAH/79c0=")</f>
        <v>#VALUE!</v>
      </c>
      <c r="GY53" t="e">
        <f>AND(Birds!S22,"AAAAAH/79c4=")</f>
        <v>#VALUE!</v>
      </c>
      <c r="GZ53" t="e">
        <f>AND(Birds!T22,"AAAAAH/79c8=")</f>
        <v>#VALUE!</v>
      </c>
      <c r="HA53" t="e">
        <f>AND(Birds!U22,"AAAAAH/79dA=")</f>
        <v>#VALUE!</v>
      </c>
      <c r="HB53" t="e">
        <f>AND(Birds!V22,"AAAAAH/79dE=")</f>
        <v>#VALUE!</v>
      </c>
      <c r="HC53" t="e">
        <f>AND(Birds!W22,"AAAAAH/79dI=")</f>
        <v>#VALUE!</v>
      </c>
      <c r="HD53" t="e">
        <f>AND(Birds!X22,"AAAAAH/79dM=")</f>
        <v>#VALUE!</v>
      </c>
      <c r="HE53" t="e">
        <f>AND(Birds!Y22,"AAAAAH/79dQ=")</f>
        <v>#VALUE!</v>
      </c>
      <c r="HF53" t="e">
        <f>AND(Birds!Z22,"AAAAAH/79dU=")</f>
        <v>#VALUE!</v>
      </c>
      <c r="HG53" t="e">
        <f>AND(Birds!AA22,"AAAAAH/79dY=")</f>
        <v>#VALUE!</v>
      </c>
      <c r="HH53" t="e">
        <f>AND(Birds!AB22,"AAAAAH/79dc=")</f>
        <v>#VALUE!</v>
      </c>
      <c r="HI53" t="e">
        <f>AND(Birds!AC22,"AAAAAH/79dg=")</f>
        <v>#VALUE!</v>
      </c>
      <c r="HJ53" t="e">
        <f>AND(Birds!AD22,"AAAAAH/79dk=")</f>
        <v>#VALUE!</v>
      </c>
      <c r="HK53" t="e">
        <f>AND(Birds!AE22,"AAAAAH/79do=")</f>
        <v>#VALUE!</v>
      </c>
      <c r="HL53" t="e">
        <f>AND(Birds!AF22,"AAAAAH/79ds=")</f>
        <v>#VALUE!</v>
      </c>
      <c r="HM53" t="e">
        <f>AND(Birds!AG22,"AAAAAH/79dw=")</f>
        <v>#VALUE!</v>
      </c>
      <c r="HN53" t="e">
        <f>AND(Birds!AH22,"AAAAAH/79d0=")</f>
        <v>#VALUE!</v>
      </c>
      <c r="HO53" t="e">
        <f>AND(Birds!AI22,"AAAAAH/79d4=")</f>
        <v>#VALUE!</v>
      </c>
      <c r="HP53" t="e">
        <f>AND(Birds!AJ22,"AAAAAH/79d8=")</f>
        <v>#VALUE!</v>
      </c>
      <c r="HQ53" t="e">
        <f>AND(Birds!AK22,"AAAAAH/79eA=")</f>
        <v>#VALUE!</v>
      </c>
      <c r="HR53" t="e">
        <f>AND(Birds!AL22,"AAAAAH/79eE=")</f>
        <v>#VALUE!</v>
      </c>
      <c r="HS53" t="e">
        <f>AND(Birds!AM22,"AAAAAH/79eI=")</f>
        <v>#VALUE!</v>
      </c>
      <c r="HT53" t="e">
        <f>AND(Birds!AN22,"AAAAAH/79eM=")</f>
        <v>#VALUE!</v>
      </c>
      <c r="HU53" t="e">
        <f>AND(Birds!AO22,"AAAAAH/79eQ=")</f>
        <v>#VALUE!</v>
      </c>
      <c r="HV53" t="e">
        <f>AND(Birds!AP22,"AAAAAH/79eU=")</f>
        <v>#VALUE!</v>
      </c>
      <c r="HW53" t="e">
        <f>AND(Birds!AQ22,"AAAAAH/79eY=")</f>
        <v>#VALUE!</v>
      </c>
      <c r="HX53" t="e">
        <f>AND(Birds!AR22,"AAAAAH/79ec=")</f>
        <v>#VALUE!</v>
      </c>
      <c r="HY53" t="e">
        <f>AND(Birds!AS22,"AAAAAH/79eg=")</f>
        <v>#VALUE!</v>
      </c>
      <c r="HZ53" t="e">
        <f>AND(Birds!AT22,"AAAAAH/79ek=")</f>
        <v>#VALUE!</v>
      </c>
      <c r="IA53" t="e">
        <f>AND(Birds!AU22,"AAAAAH/79eo=")</f>
        <v>#VALUE!</v>
      </c>
      <c r="IB53" t="e">
        <f>AND(Birds!AV22,"AAAAAH/79es=")</f>
        <v>#VALUE!</v>
      </c>
      <c r="IC53" t="e">
        <f>AND(Birds!AW22,"AAAAAH/79ew=")</f>
        <v>#VALUE!</v>
      </c>
      <c r="ID53" t="e">
        <f>AND(Birds!AX22,"AAAAAH/79e0=")</f>
        <v>#VALUE!</v>
      </c>
      <c r="IE53" t="e">
        <f>AND(Birds!AY22,"AAAAAH/79e4=")</f>
        <v>#VALUE!</v>
      </c>
      <c r="IF53" t="e">
        <f>AND(Birds!AZ22,"AAAAAH/79e8=")</f>
        <v>#VALUE!</v>
      </c>
      <c r="IG53" t="e">
        <f>AND(Birds!BA22,"AAAAAH/79fA=")</f>
        <v>#VALUE!</v>
      </c>
      <c r="IH53" t="e">
        <f>AND(Birds!BB22,"AAAAAH/79fE=")</f>
        <v>#VALUE!</v>
      </c>
      <c r="II53" t="e">
        <f>AND(Birds!BC22,"AAAAAH/79fI=")</f>
        <v>#VALUE!</v>
      </c>
      <c r="IJ53" t="e">
        <f>AND(Birds!BD22,"AAAAAH/79fM=")</f>
        <v>#VALUE!</v>
      </c>
      <c r="IK53" t="e">
        <f>AND(Birds!BE22,"AAAAAH/79fQ=")</f>
        <v>#VALUE!</v>
      </c>
      <c r="IL53" t="e">
        <f>AND(Birds!BF22,"AAAAAH/79fU=")</f>
        <v>#VALUE!</v>
      </c>
      <c r="IM53" t="e">
        <f>AND(Birds!BG22,"AAAAAH/79fY=")</f>
        <v>#VALUE!</v>
      </c>
      <c r="IN53" t="e">
        <f>AND(Birds!BH22,"AAAAAH/79fc=")</f>
        <v>#VALUE!</v>
      </c>
      <c r="IO53" t="e">
        <f>AND(Birds!BI22,"AAAAAH/79fg=")</f>
        <v>#VALUE!</v>
      </c>
      <c r="IP53" t="e">
        <f>AND(Birds!BJ22,"AAAAAH/79fk=")</f>
        <v>#VALUE!</v>
      </c>
      <c r="IQ53" t="e">
        <f>AND(Birds!BK22,"AAAAAH/79fo=")</f>
        <v>#VALUE!</v>
      </c>
      <c r="IR53" t="e">
        <f>AND(Birds!BL22,"AAAAAH/79fs=")</f>
        <v>#VALUE!</v>
      </c>
      <c r="IS53" t="e">
        <f>AND(Birds!BM22,"AAAAAH/79fw=")</f>
        <v>#VALUE!</v>
      </c>
      <c r="IT53" t="e">
        <f>AND(Birds!BN22,"AAAAAH/79f0=")</f>
        <v>#VALUE!</v>
      </c>
      <c r="IU53" t="e">
        <f>AND(Birds!BO22,"AAAAAH/79f4=")</f>
        <v>#VALUE!</v>
      </c>
      <c r="IV53" t="e">
        <f>AND(Birds!BP22,"AAAAAH/79f8=")</f>
        <v>#VALUE!</v>
      </c>
    </row>
    <row r="54" spans="1:256">
      <c r="A54" t="e">
        <f>AND(Birds!BQ22,"AAAAAHn2/gA=")</f>
        <v>#VALUE!</v>
      </c>
      <c r="B54" t="e">
        <f>AND(Birds!BR22,"AAAAAHn2/gE=")</f>
        <v>#VALUE!</v>
      </c>
      <c r="C54" t="e">
        <f>AND(Birds!BS22,"AAAAAHn2/gI=")</f>
        <v>#VALUE!</v>
      </c>
      <c r="D54" t="e">
        <f>AND(Birds!BT22,"AAAAAHn2/gM=")</f>
        <v>#VALUE!</v>
      </c>
      <c r="E54" t="e">
        <f>AND(Birds!BU22,"AAAAAHn2/gQ=")</f>
        <v>#VALUE!</v>
      </c>
      <c r="F54" t="e">
        <f>AND(Birds!BV22,"AAAAAHn2/gU=")</f>
        <v>#VALUE!</v>
      </c>
      <c r="G54" t="e">
        <f>AND(Birds!BW22,"AAAAAHn2/gY=")</f>
        <v>#VALUE!</v>
      </c>
      <c r="H54" t="e">
        <f>AND(Birds!BX22,"AAAAAHn2/gc=")</f>
        <v>#VALUE!</v>
      </c>
      <c r="I54" t="e">
        <f>AND(Birds!BY22,"AAAAAHn2/gg=")</f>
        <v>#VALUE!</v>
      </c>
      <c r="J54" t="e">
        <f>AND(Birds!BZ22,"AAAAAHn2/gk=")</f>
        <v>#VALUE!</v>
      </c>
      <c r="K54" t="e">
        <f>AND(Birds!CA22,"AAAAAHn2/go=")</f>
        <v>#VALUE!</v>
      </c>
      <c r="L54" t="e">
        <f>AND(Birds!CB22,"AAAAAHn2/gs=")</f>
        <v>#VALUE!</v>
      </c>
      <c r="M54" t="e">
        <f>AND(Birds!CC22,"AAAAAHn2/gw=")</f>
        <v>#VALUE!</v>
      </c>
      <c r="N54" t="e">
        <f>AND(Birds!CD22,"AAAAAHn2/g0=")</f>
        <v>#VALUE!</v>
      </c>
      <c r="O54" t="e">
        <f>AND(Birds!CE22,"AAAAAHn2/g4=")</f>
        <v>#VALUE!</v>
      </c>
      <c r="P54" t="e">
        <f>AND(Birds!CF22,"AAAAAHn2/g8=")</f>
        <v>#VALUE!</v>
      </c>
      <c r="Q54" t="e">
        <f>AND(Birds!CG22,"AAAAAHn2/hA=")</f>
        <v>#VALUE!</v>
      </c>
      <c r="R54" t="e">
        <f>AND(Birds!CH22,"AAAAAHn2/hE=")</f>
        <v>#VALUE!</v>
      </c>
      <c r="S54" t="e">
        <f>AND(Birds!CI22,"AAAAAHn2/hI=")</f>
        <v>#VALUE!</v>
      </c>
      <c r="T54" t="e">
        <f>AND(Birds!CJ22,"AAAAAHn2/hM=")</f>
        <v>#VALUE!</v>
      </c>
      <c r="U54" t="e">
        <f>AND(Birds!CK22,"AAAAAHn2/hQ=")</f>
        <v>#VALUE!</v>
      </c>
      <c r="V54" t="e">
        <f>AND(Birds!CL22,"AAAAAHn2/hU=")</f>
        <v>#VALUE!</v>
      </c>
      <c r="W54" t="e">
        <f>AND(Birds!CM22,"AAAAAHn2/hY=")</f>
        <v>#VALUE!</v>
      </c>
      <c r="X54" t="e">
        <f>AND(Birds!CN22,"AAAAAHn2/hc=")</f>
        <v>#VALUE!</v>
      </c>
      <c r="Y54" t="e">
        <f>AND(Birds!CO22,"AAAAAHn2/hg=")</f>
        <v>#VALUE!</v>
      </c>
      <c r="Z54" t="e">
        <f>AND(Birds!CP22,"AAAAAHn2/hk=")</f>
        <v>#VALUE!</v>
      </c>
      <c r="AA54" t="e">
        <f>AND(Birds!CQ22,"AAAAAHn2/ho=")</f>
        <v>#VALUE!</v>
      </c>
      <c r="AB54" t="e">
        <f>AND(Birds!CR22,"AAAAAHn2/hs=")</f>
        <v>#VALUE!</v>
      </c>
      <c r="AC54" t="e">
        <f>AND(Birds!CS22,"AAAAAHn2/hw=")</f>
        <v>#VALUE!</v>
      </c>
      <c r="AD54" t="e">
        <f>AND(Birds!CT22,"AAAAAHn2/h0=")</f>
        <v>#VALUE!</v>
      </c>
      <c r="AE54" t="e">
        <f>AND(Birds!CU22,"AAAAAHn2/h4=")</f>
        <v>#VALUE!</v>
      </c>
      <c r="AF54" t="e">
        <f>AND(Birds!CV22,"AAAAAHn2/h8=")</f>
        <v>#VALUE!</v>
      </c>
      <c r="AG54" t="e">
        <f>AND(Birds!CW22,"AAAAAHn2/iA=")</f>
        <v>#VALUE!</v>
      </c>
      <c r="AH54" t="e">
        <f>AND(Birds!CX22,"AAAAAHn2/iE=")</f>
        <v>#VALUE!</v>
      </c>
      <c r="AI54" t="e">
        <f>AND(Birds!CY22,"AAAAAHn2/iI=")</f>
        <v>#VALUE!</v>
      </c>
      <c r="AJ54" t="e">
        <f>AND(Birds!CZ22,"AAAAAHn2/iM=")</f>
        <v>#VALUE!</v>
      </c>
      <c r="AK54" t="e">
        <f>AND(Birds!DA22,"AAAAAHn2/iQ=")</f>
        <v>#VALUE!</v>
      </c>
      <c r="AL54" t="e">
        <f>AND(Birds!DB22,"AAAAAHn2/iU=")</f>
        <v>#VALUE!</v>
      </c>
      <c r="AM54" t="e">
        <f>AND(Birds!DC22,"AAAAAHn2/iY=")</f>
        <v>#VALUE!</v>
      </c>
      <c r="AN54" t="e">
        <f>AND(Birds!DD22,"AAAAAHn2/ic=")</f>
        <v>#VALUE!</v>
      </c>
      <c r="AO54" t="e">
        <f>AND(Birds!DE22,"AAAAAHn2/ig=")</f>
        <v>#VALUE!</v>
      </c>
      <c r="AP54" t="e">
        <f>AND(Birds!DF22,"AAAAAHn2/ik=")</f>
        <v>#VALUE!</v>
      </c>
      <c r="AQ54" t="e">
        <f>AND(Birds!DG22,"AAAAAHn2/io=")</f>
        <v>#VALUE!</v>
      </c>
      <c r="AR54" t="e">
        <f>AND(Birds!DH22,"AAAAAHn2/is=")</f>
        <v>#VALUE!</v>
      </c>
      <c r="AS54" t="e">
        <f>AND(Birds!DI22,"AAAAAHn2/iw=")</f>
        <v>#VALUE!</v>
      </c>
      <c r="AT54" t="e">
        <f>AND(Birds!DJ22,"AAAAAHn2/i0=")</f>
        <v>#VALUE!</v>
      </c>
      <c r="AU54" t="e">
        <f>AND(Birds!DK22,"AAAAAHn2/i4=")</f>
        <v>#VALUE!</v>
      </c>
      <c r="AV54" t="e">
        <f>AND(Birds!DL22,"AAAAAHn2/i8=")</f>
        <v>#VALUE!</v>
      </c>
      <c r="AW54" t="e">
        <f>AND(Birds!DM22,"AAAAAHn2/jA=")</f>
        <v>#VALUE!</v>
      </c>
      <c r="AX54" t="e">
        <f>AND(Birds!DN22,"AAAAAHn2/jE=")</f>
        <v>#VALUE!</v>
      </c>
      <c r="AY54" t="e">
        <f>AND(Birds!DO22,"AAAAAHn2/jI=")</f>
        <v>#VALUE!</v>
      </c>
      <c r="AZ54" t="e">
        <f>AND(Birds!DP22,"AAAAAHn2/jM=")</f>
        <v>#VALUE!</v>
      </c>
      <c r="BA54" t="e">
        <f>AND(Birds!DQ22,"AAAAAHn2/jQ=")</f>
        <v>#VALUE!</v>
      </c>
      <c r="BB54" t="e">
        <f>AND(Birds!DR22,"AAAAAHn2/jU=")</f>
        <v>#VALUE!</v>
      </c>
      <c r="BC54" t="e">
        <f>AND(Birds!DS22,"AAAAAHn2/jY=")</f>
        <v>#VALUE!</v>
      </c>
      <c r="BD54" t="e">
        <f>AND(Birds!DT22,"AAAAAHn2/jc=")</f>
        <v>#VALUE!</v>
      </c>
      <c r="BE54" t="e">
        <f>AND(Birds!DU22,"AAAAAHn2/jg=")</f>
        <v>#VALUE!</v>
      </c>
      <c r="BF54" t="e">
        <f>AND(Birds!DV22,"AAAAAHn2/jk=")</f>
        <v>#VALUE!</v>
      </c>
      <c r="BG54" t="e">
        <f>AND(Birds!DW22,"AAAAAHn2/jo=")</f>
        <v>#VALUE!</v>
      </c>
      <c r="BH54" t="e">
        <f>AND(Birds!DX22,"AAAAAHn2/js=")</f>
        <v>#VALUE!</v>
      </c>
      <c r="BI54" t="e">
        <f>AND(Birds!DY22,"AAAAAHn2/jw=")</f>
        <v>#VALUE!</v>
      </c>
      <c r="BJ54" t="e">
        <f>AND(Birds!DZ22,"AAAAAHn2/j0=")</f>
        <v>#VALUE!</v>
      </c>
      <c r="BK54" t="e">
        <f>AND(Birds!EA22,"AAAAAHn2/j4=")</f>
        <v>#VALUE!</v>
      </c>
      <c r="BL54" t="e">
        <f>AND(Birds!EB22,"AAAAAHn2/j8=")</f>
        <v>#VALUE!</v>
      </c>
      <c r="BM54" t="e">
        <f>AND(Birds!EC22,"AAAAAHn2/kA=")</f>
        <v>#VALUE!</v>
      </c>
      <c r="BN54" t="e">
        <f>AND(Birds!ED22,"AAAAAHn2/kE=")</f>
        <v>#VALUE!</v>
      </c>
      <c r="BO54" t="e">
        <f>AND(Birds!EE22,"AAAAAHn2/kI=")</f>
        <v>#VALUE!</v>
      </c>
      <c r="BP54" t="e">
        <f>AND(Birds!EF22,"AAAAAHn2/kM=")</f>
        <v>#VALUE!</v>
      </c>
      <c r="BQ54" t="e">
        <f>AND(Birds!EG22,"AAAAAHn2/kQ=")</f>
        <v>#VALUE!</v>
      </c>
      <c r="BR54" t="e">
        <f>AND(Birds!EH22,"AAAAAHn2/kU=")</f>
        <v>#VALUE!</v>
      </c>
      <c r="BS54" t="e">
        <f>AND(Birds!EI22,"AAAAAHn2/kY=")</f>
        <v>#VALUE!</v>
      </c>
      <c r="BT54" t="e">
        <f>AND(Birds!EJ22,"AAAAAHn2/kc=")</f>
        <v>#VALUE!</v>
      </c>
      <c r="BU54" t="e">
        <f>AND(Birds!EK22,"AAAAAHn2/kg=")</f>
        <v>#VALUE!</v>
      </c>
      <c r="BV54" t="e">
        <f>AND(Birds!EL22,"AAAAAHn2/kk=")</f>
        <v>#VALUE!</v>
      </c>
      <c r="BW54" t="e">
        <f>AND(Birds!EM22,"AAAAAHn2/ko=")</f>
        <v>#VALUE!</v>
      </c>
      <c r="BX54" t="e">
        <f>AND(Birds!EN22,"AAAAAHn2/ks=")</f>
        <v>#VALUE!</v>
      </c>
      <c r="BY54" t="e">
        <f>AND(Birds!EO22,"AAAAAHn2/kw=")</f>
        <v>#VALUE!</v>
      </c>
      <c r="BZ54" t="e">
        <f>AND(Birds!EP22,"AAAAAHn2/k0=")</f>
        <v>#VALUE!</v>
      </c>
      <c r="CA54" t="e">
        <f>AND(Birds!EQ22,"AAAAAHn2/k4=")</f>
        <v>#VALUE!</v>
      </c>
      <c r="CB54" t="e">
        <f>AND(Birds!ER22,"AAAAAHn2/k8=")</f>
        <v>#VALUE!</v>
      </c>
      <c r="CC54" t="e">
        <f>AND(Birds!ES22,"AAAAAHn2/lA=")</f>
        <v>#VALUE!</v>
      </c>
      <c r="CD54" t="e">
        <f>AND(Birds!ET22,"AAAAAHn2/lE=")</f>
        <v>#VALUE!</v>
      </c>
      <c r="CE54" t="e">
        <f>AND(Birds!EU22,"AAAAAHn2/lI=")</f>
        <v>#VALUE!</v>
      </c>
      <c r="CF54" t="e">
        <f>AND(Birds!EV22,"AAAAAHn2/lM=")</f>
        <v>#VALUE!</v>
      </c>
      <c r="CG54" t="e">
        <f>AND(Birds!EW22,"AAAAAHn2/lQ=")</f>
        <v>#VALUE!</v>
      </c>
      <c r="CH54" t="e">
        <f>AND(Birds!EX22,"AAAAAHn2/lU=")</f>
        <v>#VALUE!</v>
      </c>
      <c r="CI54" t="e">
        <f>AND(Birds!EY22,"AAAAAHn2/lY=")</f>
        <v>#VALUE!</v>
      </c>
      <c r="CJ54" t="e">
        <f>AND(Birds!EZ22,"AAAAAHn2/lc=")</f>
        <v>#VALUE!</v>
      </c>
      <c r="CK54" t="e">
        <f>AND(Birds!FA22,"AAAAAHn2/lg=")</f>
        <v>#VALUE!</v>
      </c>
      <c r="CL54" t="e">
        <f>AND(Birds!FB22,"AAAAAHn2/lk=")</f>
        <v>#VALUE!</v>
      </c>
      <c r="CM54" t="e">
        <f>AND(Birds!FC22,"AAAAAHn2/lo=")</f>
        <v>#VALUE!</v>
      </c>
      <c r="CN54" t="e">
        <f>AND(Birds!FD22,"AAAAAHn2/ls=")</f>
        <v>#VALUE!</v>
      </c>
      <c r="CO54" t="e">
        <f>AND(Birds!FE22,"AAAAAHn2/lw=")</f>
        <v>#VALUE!</v>
      </c>
      <c r="CP54" t="e">
        <f>AND(Birds!FF22,"AAAAAHn2/l0=")</f>
        <v>#VALUE!</v>
      </c>
      <c r="CQ54" t="e">
        <f>AND(Birds!FG22,"AAAAAHn2/l4=")</f>
        <v>#VALUE!</v>
      </c>
      <c r="CR54" t="e">
        <f>AND(Birds!FH22,"AAAAAHn2/l8=")</f>
        <v>#VALUE!</v>
      </c>
      <c r="CS54" t="e">
        <f>AND(Birds!FI22,"AAAAAHn2/mA=")</f>
        <v>#VALUE!</v>
      </c>
      <c r="CT54" t="e">
        <f>AND(Birds!FJ22,"AAAAAHn2/mE=")</f>
        <v>#VALUE!</v>
      </c>
      <c r="CU54" t="e">
        <f>AND(Birds!FK22,"AAAAAHn2/mI=")</f>
        <v>#VALUE!</v>
      </c>
      <c r="CV54" t="e">
        <f>AND(Birds!FL22,"AAAAAHn2/mM=")</f>
        <v>#VALUE!</v>
      </c>
      <c r="CW54" t="e">
        <f>AND(Birds!FM22,"AAAAAHn2/mQ=")</f>
        <v>#VALUE!</v>
      </c>
      <c r="CX54" t="e">
        <f>AND(Birds!FN22,"AAAAAHn2/mU=")</f>
        <v>#VALUE!</v>
      </c>
      <c r="CY54" t="e">
        <f>AND(Birds!FO22,"AAAAAHn2/mY=")</f>
        <v>#VALUE!</v>
      </c>
      <c r="CZ54" t="e">
        <f>AND(Birds!FP22,"AAAAAHn2/mc=")</f>
        <v>#VALUE!</v>
      </c>
      <c r="DA54" t="e">
        <f>AND(Birds!FQ22,"AAAAAHn2/mg=")</f>
        <v>#VALUE!</v>
      </c>
      <c r="DB54" t="e">
        <f>AND(Birds!FR22,"AAAAAHn2/mk=")</f>
        <v>#VALUE!</v>
      </c>
      <c r="DC54" t="e">
        <f>AND(Birds!FS22,"AAAAAHn2/mo=")</f>
        <v>#VALUE!</v>
      </c>
      <c r="DD54" t="e">
        <f>AND(Birds!FT22,"AAAAAHn2/ms=")</f>
        <v>#VALUE!</v>
      </c>
      <c r="DE54" t="e">
        <f>AND(Birds!FU22,"AAAAAHn2/mw=")</f>
        <v>#VALUE!</v>
      </c>
      <c r="DF54" t="e">
        <f>AND(Birds!FV22,"AAAAAHn2/m0=")</f>
        <v>#VALUE!</v>
      </c>
      <c r="DG54" t="e">
        <f>AND(Birds!FW22,"AAAAAHn2/m4=")</f>
        <v>#VALUE!</v>
      </c>
      <c r="DH54" t="e">
        <f>AND(Birds!FX22,"AAAAAHn2/m8=")</f>
        <v>#VALUE!</v>
      </c>
      <c r="DI54" t="e">
        <f>AND(Birds!FY22,"AAAAAHn2/nA=")</f>
        <v>#VALUE!</v>
      </c>
      <c r="DJ54" t="e">
        <f>AND(Birds!FZ22,"AAAAAHn2/nE=")</f>
        <v>#VALUE!</v>
      </c>
      <c r="DK54" t="e">
        <f>AND(Birds!GA22,"AAAAAHn2/nI=")</f>
        <v>#VALUE!</v>
      </c>
      <c r="DL54" t="e">
        <f>AND(Birds!GB22,"AAAAAHn2/nM=")</f>
        <v>#VALUE!</v>
      </c>
      <c r="DM54" t="e">
        <f>AND(Birds!GC22,"AAAAAHn2/nQ=")</f>
        <v>#VALUE!</v>
      </c>
      <c r="DN54" t="e">
        <f>AND(Birds!GD22,"AAAAAHn2/nU=")</f>
        <v>#VALUE!</v>
      </c>
      <c r="DO54" t="e">
        <f>AND(Birds!GE22,"AAAAAHn2/nY=")</f>
        <v>#VALUE!</v>
      </c>
      <c r="DP54" t="e">
        <f>AND(Birds!GF22,"AAAAAHn2/nc=")</f>
        <v>#VALUE!</v>
      </c>
      <c r="DQ54" t="e">
        <f>AND(Birds!GG22,"AAAAAHn2/ng=")</f>
        <v>#VALUE!</v>
      </c>
      <c r="DR54" t="e">
        <f>AND(Birds!GH22,"AAAAAHn2/nk=")</f>
        <v>#VALUE!</v>
      </c>
      <c r="DS54" t="e">
        <f>AND(Birds!GI22,"AAAAAHn2/no=")</f>
        <v>#VALUE!</v>
      </c>
      <c r="DT54" t="e">
        <f>AND(Birds!GJ22,"AAAAAHn2/ns=")</f>
        <v>#VALUE!</v>
      </c>
      <c r="DU54" t="e">
        <f>AND(Birds!GK22,"AAAAAHn2/nw=")</f>
        <v>#VALUE!</v>
      </c>
      <c r="DV54" t="e">
        <f>AND(Birds!GL22,"AAAAAHn2/n0=")</f>
        <v>#VALUE!</v>
      </c>
      <c r="DW54" t="e">
        <f>AND(Birds!GM22,"AAAAAHn2/n4=")</f>
        <v>#VALUE!</v>
      </c>
      <c r="DX54">
        <f>IF(Birds!23:23,"AAAAAHn2/n8=",0)</f>
        <v>0</v>
      </c>
      <c r="DY54" t="e">
        <f>AND(Birds!A23,"AAAAAHn2/oA=")</f>
        <v>#VALUE!</v>
      </c>
      <c r="DZ54" t="e">
        <f>AND(Birds!B23,"AAAAAHn2/oE=")</f>
        <v>#VALUE!</v>
      </c>
      <c r="EA54" t="e">
        <f>AND(Birds!C23,"AAAAAHn2/oI=")</f>
        <v>#VALUE!</v>
      </c>
      <c r="EB54" t="e">
        <f>AND(Birds!D23,"AAAAAHn2/oM=")</f>
        <v>#VALUE!</v>
      </c>
      <c r="EC54" t="e">
        <f>AND(Birds!E23,"AAAAAHn2/oQ=")</f>
        <v>#VALUE!</v>
      </c>
      <c r="ED54" t="e">
        <f>AND(Birds!F23,"AAAAAHn2/oU=")</f>
        <v>#VALUE!</v>
      </c>
      <c r="EE54" t="e">
        <f>AND(Birds!G23,"AAAAAHn2/oY=")</f>
        <v>#VALUE!</v>
      </c>
      <c r="EF54" t="e">
        <f>AND(Birds!H23,"AAAAAHn2/oc=")</f>
        <v>#VALUE!</v>
      </c>
      <c r="EG54" t="e">
        <f>AND(Birds!I23,"AAAAAHn2/og=")</f>
        <v>#VALUE!</v>
      </c>
      <c r="EH54" t="e">
        <f>AND(Birds!J23,"AAAAAHn2/ok=")</f>
        <v>#VALUE!</v>
      </c>
      <c r="EI54" t="e">
        <f>AND(Birds!K23,"AAAAAHn2/oo=")</f>
        <v>#VALUE!</v>
      </c>
      <c r="EJ54" t="e">
        <f>AND(Birds!L23,"AAAAAHn2/os=")</f>
        <v>#VALUE!</v>
      </c>
      <c r="EK54" t="e">
        <f>AND(Birds!M23,"AAAAAHn2/ow=")</f>
        <v>#VALUE!</v>
      </c>
      <c r="EL54" t="e">
        <f>AND(Birds!N23,"AAAAAHn2/o0=")</f>
        <v>#VALUE!</v>
      </c>
      <c r="EM54" t="e">
        <f>AND(Birds!O23,"AAAAAHn2/o4=")</f>
        <v>#VALUE!</v>
      </c>
      <c r="EN54" t="e">
        <f>AND(Birds!P23,"AAAAAHn2/o8=")</f>
        <v>#VALUE!</v>
      </c>
      <c r="EO54" t="e">
        <f>AND(Birds!Q23,"AAAAAHn2/pA=")</f>
        <v>#VALUE!</v>
      </c>
      <c r="EP54" t="e">
        <f>AND(Birds!R23,"AAAAAHn2/pE=")</f>
        <v>#VALUE!</v>
      </c>
      <c r="EQ54" t="e">
        <f>AND(Birds!S23,"AAAAAHn2/pI=")</f>
        <v>#VALUE!</v>
      </c>
      <c r="ER54" t="e">
        <f>AND(Birds!T23,"AAAAAHn2/pM=")</f>
        <v>#VALUE!</v>
      </c>
      <c r="ES54" t="e">
        <f>AND(Birds!U23,"AAAAAHn2/pQ=")</f>
        <v>#VALUE!</v>
      </c>
      <c r="ET54" t="e">
        <f>AND(Birds!V23,"AAAAAHn2/pU=")</f>
        <v>#VALUE!</v>
      </c>
      <c r="EU54" t="e">
        <f>AND(Birds!W23,"AAAAAHn2/pY=")</f>
        <v>#VALUE!</v>
      </c>
      <c r="EV54" t="e">
        <f>AND(Birds!X23,"AAAAAHn2/pc=")</f>
        <v>#VALUE!</v>
      </c>
      <c r="EW54" t="e">
        <f>AND(Birds!Y23,"AAAAAHn2/pg=")</f>
        <v>#VALUE!</v>
      </c>
      <c r="EX54" t="e">
        <f>AND(Birds!Z23,"AAAAAHn2/pk=")</f>
        <v>#VALUE!</v>
      </c>
      <c r="EY54" t="e">
        <f>AND(Birds!AA23,"AAAAAHn2/po=")</f>
        <v>#VALUE!</v>
      </c>
      <c r="EZ54" t="e">
        <f>AND(Birds!AB23,"AAAAAHn2/ps=")</f>
        <v>#VALUE!</v>
      </c>
      <c r="FA54" t="e">
        <f>AND(Birds!AC23,"AAAAAHn2/pw=")</f>
        <v>#VALUE!</v>
      </c>
      <c r="FB54" t="e">
        <f>AND(Birds!AD23,"AAAAAHn2/p0=")</f>
        <v>#VALUE!</v>
      </c>
      <c r="FC54" t="e">
        <f>AND(Birds!AE23,"AAAAAHn2/p4=")</f>
        <v>#VALUE!</v>
      </c>
      <c r="FD54" t="e">
        <f>AND(Birds!AF23,"AAAAAHn2/p8=")</f>
        <v>#VALUE!</v>
      </c>
      <c r="FE54" t="e">
        <f>AND(Birds!AG23,"AAAAAHn2/qA=")</f>
        <v>#VALUE!</v>
      </c>
      <c r="FF54" t="e">
        <f>AND(Birds!AH23,"AAAAAHn2/qE=")</f>
        <v>#VALUE!</v>
      </c>
      <c r="FG54" t="e">
        <f>AND(Birds!AI23,"AAAAAHn2/qI=")</f>
        <v>#VALUE!</v>
      </c>
      <c r="FH54" t="e">
        <f>AND(Birds!AJ23,"AAAAAHn2/qM=")</f>
        <v>#VALUE!</v>
      </c>
      <c r="FI54" t="e">
        <f>AND(Birds!AK23,"AAAAAHn2/qQ=")</f>
        <v>#VALUE!</v>
      </c>
      <c r="FJ54" t="e">
        <f>AND(Birds!AL23,"AAAAAHn2/qU=")</f>
        <v>#VALUE!</v>
      </c>
      <c r="FK54" t="e">
        <f>AND(Birds!AM23,"AAAAAHn2/qY=")</f>
        <v>#VALUE!</v>
      </c>
      <c r="FL54" t="e">
        <f>AND(Birds!AN23,"AAAAAHn2/qc=")</f>
        <v>#VALUE!</v>
      </c>
      <c r="FM54" t="e">
        <f>AND(Birds!AO23,"AAAAAHn2/qg=")</f>
        <v>#VALUE!</v>
      </c>
      <c r="FN54" t="e">
        <f>AND(Birds!AP23,"AAAAAHn2/qk=")</f>
        <v>#VALUE!</v>
      </c>
      <c r="FO54" t="e">
        <f>AND(Birds!AQ23,"AAAAAHn2/qo=")</f>
        <v>#VALUE!</v>
      </c>
      <c r="FP54" t="e">
        <f>AND(Birds!AR23,"AAAAAHn2/qs=")</f>
        <v>#VALUE!</v>
      </c>
      <c r="FQ54" t="e">
        <f>AND(Birds!AS23,"AAAAAHn2/qw=")</f>
        <v>#VALUE!</v>
      </c>
      <c r="FR54" t="e">
        <f>AND(Birds!AT23,"AAAAAHn2/q0=")</f>
        <v>#VALUE!</v>
      </c>
      <c r="FS54" t="e">
        <f>AND(Birds!AU23,"AAAAAHn2/q4=")</f>
        <v>#VALUE!</v>
      </c>
      <c r="FT54" t="e">
        <f>AND(Birds!AV23,"AAAAAHn2/q8=")</f>
        <v>#VALUE!</v>
      </c>
      <c r="FU54" t="e">
        <f>AND(Birds!AW23,"AAAAAHn2/rA=")</f>
        <v>#VALUE!</v>
      </c>
      <c r="FV54" t="e">
        <f>AND(Birds!AX23,"AAAAAHn2/rE=")</f>
        <v>#VALUE!</v>
      </c>
      <c r="FW54" t="e">
        <f>AND(Birds!AY23,"AAAAAHn2/rI=")</f>
        <v>#VALUE!</v>
      </c>
      <c r="FX54" t="e">
        <f>AND(Birds!AZ23,"AAAAAHn2/rM=")</f>
        <v>#VALUE!</v>
      </c>
      <c r="FY54" t="e">
        <f>AND(Birds!BA23,"AAAAAHn2/rQ=")</f>
        <v>#VALUE!</v>
      </c>
      <c r="FZ54" t="e">
        <f>AND(Birds!BB23,"AAAAAHn2/rU=")</f>
        <v>#VALUE!</v>
      </c>
      <c r="GA54" t="e">
        <f>AND(Birds!BC23,"AAAAAHn2/rY=")</f>
        <v>#VALUE!</v>
      </c>
      <c r="GB54" t="e">
        <f>AND(Birds!BD23,"AAAAAHn2/rc=")</f>
        <v>#VALUE!</v>
      </c>
      <c r="GC54" t="e">
        <f>AND(Birds!BE23,"AAAAAHn2/rg=")</f>
        <v>#VALUE!</v>
      </c>
      <c r="GD54" t="e">
        <f>AND(Birds!BF23,"AAAAAHn2/rk=")</f>
        <v>#VALUE!</v>
      </c>
      <c r="GE54" t="e">
        <f>AND(Birds!BG23,"AAAAAHn2/ro=")</f>
        <v>#VALUE!</v>
      </c>
      <c r="GF54" t="e">
        <f>AND(Birds!BH23,"AAAAAHn2/rs=")</f>
        <v>#VALUE!</v>
      </c>
      <c r="GG54" t="e">
        <f>AND(Birds!BI23,"AAAAAHn2/rw=")</f>
        <v>#VALUE!</v>
      </c>
      <c r="GH54" t="e">
        <f>AND(Birds!BJ23,"AAAAAHn2/r0=")</f>
        <v>#VALUE!</v>
      </c>
      <c r="GI54" t="e">
        <f>AND(Birds!BK23,"AAAAAHn2/r4=")</f>
        <v>#VALUE!</v>
      </c>
      <c r="GJ54" t="e">
        <f>AND(Birds!BL23,"AAAAAHn2/r8=")</f>
        <v>#VALUE!</v>
      </c>
      <c r="GK54" t="e">
        <f>AND(Birds!BM23,"AAAAAHn2/sA=")</f>
        <v>#VALUE!</v>
      </c>
      <c r="GL54" t="e">
        <f>AND(Birds!BN23,"AAAAAHn2/sE=")</f>
        <v>#VALUE!</v>
      </c>
      <c r="GM54" t="e">
        <f>AND(Birds!BO23,"AAAAAHn2/sI=")</f>
        <v>#VALUE!</v>
      </c>
      <c r="GN54" t="e">
        <f>AND(Birds!BP23,"AAAAAHn2/sM=")</f>
        <v>#VALUE!</v>
      </c>
      <c r="GO54" t="e">
        <f>AND(Birds!BQ23,"AAAAAHn2/sQ=")</f>
        <v>#VALUE!</v>
      </c>
      <c r="GP54" t="e">
        <f>AND(Birds!BR23,"AAAAAHn2/sU=")</f>
        <v>#VALUE!</v>
      </c>
      <c r="GQ54" t="e">
        <f>AND(Birds!BS23,"AAAAAHn2/sY=")</f>
        <v>#VALUE!</v>
      </c>
      <c r="GR54" t="e">
        <f>AND(Birds!BT23,"AAAAAHn2/sc=")</f>
        <v>#VALUE!</v>
      </c>
      <c r="GS54" t="e">
        <f>AND(Birds!BU23,"AAAAAHn2/sg=")</f>
        <v>#VALUE!</v>
      </c>
      <c r="GT54" t="e">
        <f>AND(Birds!BV23,"AAAAAHn2/sk=")</f>
        <v>#VALUE!</v>
      </c>
      <c r="GU54" t="e">
        <f>AND(Birds!BW23,"AAAAAHn2/so=")</f>
        <v>#VALUE!</v>
      </c>
      <c r="GV54" t="e">
        <f>AND(Birds!BX23,"AAAAAHn2/ss=")</f>
        <v>#VALUE!</v>
      </c>
      <c r="GW54" t="e">
        <f>AND(Birds!BY23,"AAAAAHn2/sw=")</f>
        <v>#VALUE!</v>
      </c>
      <c r="GX54" t="e">
        <f>AND(Birds!BZ23,"AAAAAHn2/s0=")</f>
        <v>#VALUE!</v>
      </c>
      <c r="GY54" t="e">
        <f>AND(Birds!CA23,"AAAAAHn2/s4=")</f>
        <v>#VALUE!</v>
      </c>
      <c r="GZ54" t="e">
        <f>AND(Birds!CB23,"AAAAAHn2/s8=")</f>
        <v>#VALUE!</v>
      </c>
      <c r="HA54" t="e">
        <f>AND(Birds!CC23,"AAAAAHn2/tA=")</f>
        <v>#VALUE!</v>
      </c>
      <c r="HB54" t="e">
        <f>AND(Birds!CD23,"AAAAAHn2/tE=")</f>
        <v>#VALUE!</v>
      </c>
      <c r="HC54" t="e">
        <f>AND(Birds!CE23,"AAAAAHn2/tI=")</f>
        <v>#VALUE!</v>
      </c>
      <c r="HD54" t="e">
        <f>AND(Birds!CF23,"AAAAAHn2/tM=")</f>
        <v>#VALUE!</v>
      </c>
      <c r="HE54" t="e">
        <f>AND(Birds!CG23,"AAAAAHn2/tQ=")</f>
        <v>#VALUE!</v>
      </c>
      <c r="HF54" t="e">
        <f>AND(Birds!CH23,"AAAAAHn2/tU=")</f>
        <v>#VALUE!</v>
      </c>
      <c r="HG54" t="e">
        <f>AND(Birds!CI23,"AAAAAHn2/tY=")</f>
        <v>#VALUE!</v>
      </c>
      <c r="HH54" t="e">
        <f>AND(Birds!CJ23,"AAAAAHn2/tc=")</f>
        <v>#VALUE!</v>
      </c>
      <c r="HI54" t="e">
        <f>AND(Birds!CK23,"AAAAAHn2/tg=")</f>
        <v>#VALUE!</v>
      </c>
      <c r="HJ54" t="e">
        <f>AND(Birds!CL23,"AAAAAHn2/tk=")</f>
        <v>#VALUE!</v>
      </c>
      <c r="HK54" t="e">
        <f>AND(Birds!CM23,"AAAAAHn2/to=")</f>
        <v>#VALUE!</v>
      </c>
      <c r="HL54" t="e">
        <f>AND(Birds!CN23,"AAAAAHn2/ts=")</f>
        <v>#VALUE!</v>
      </c>
      <c r="HM54" t="e">
        <f>AND(Birds!CO23,"AAAAAHn2/tw=")</f>
        <v>#VALUE!</v>
      </c>
      <c r="HN54" t="e">
        <f>AND(Birds!CP23,"AAAAAHn2/t0=")</f>
        <v>#VALUE!</v>
      </c>
      <c r="HO54" t="e">
        <f>AND(Birds!CQ23,"AAAAAHn2/t4=")</f>
        <v>#VALUE!</v>
      </c>
      <c r="HP54" t="e">
        <f>AND(Birds!CR23,"AAAAAHn2/t8=")</f>
        <v>#VALUE!</v>
      </c>
      <c r="HQ54" t="e">
        <f>AND(Birds!CS23,"AAAAAHn2/uA=")</f>
        <v>#VALUE!</v>
      </c>
      <c r="HR54" t="e">
        <f>AND(Birds!CT23,"AAAAAHn2/uE=")</f>
        <v>#VALUE!</v>
      </c>
      <c r="HS54" t="e">
        <f>AND(Birds!CU23,"AAAAAHn2/uI=")</f>
        <v>#VALUE!</v>
      </c>
      <c r="HT54" t="e">
        <f>AND(Birds!CV23,"AAAAAHn2/uM=")</f>
        <v>#VALUE!</v>
      </c>
      <c r="HU54" t="e">
        <f>AND(Birds!CW23,"AAAAAHn2/uQ=")</f>
        <v>#VALUE!</v>
      </c>
      <c r="HV54" t="e">
        <f>AND(Birds!CX23,"AAAAAHn2/uU=")</f>
        <v>#VALUE!</v>
      </c>
      <c r="HW54" t="e">
        <f>AND(Birds!CY23,"AAAAAHn2/uY=")</f>
        <v>#VALUE!</v>
      </c>
      <c r="HX54" t="e">
        <f>AND(Birds!CZ23,"AAAAAHn2/uc=")</f>
        <v>#VALUE!</v>
      </c>
      <c r="HY54" t="e">
        <f>AND(Birds!DA23,"AAAAAHn2/ug=")</f>
        <v>#VALUE!</v>
      </c>
      <c r="HZ54" t="e">
        <f>AND(Birds!DB23,"AAAAAHn2/uk=")</f>
        <v>#VALUE!</v>
      </c>
      <c r="IA54" t="e">
        <f>AND(Birds!DC23,"AAAAAHn2/uo=")</f>
        <v>#VALUE!</v>
      </c>
      <c r="IB54" t="e">
        <f>AND(Birds!DD23,"AAAAAHn2/us=")</f>
        <v>#VALUE!</v>
      </c>
      <c r="IC54" t="e">
        <f>AND(Birds!DE23,"AAAAAHn2/uw=")</f>
        <v>#VALUE!</v>
      </c>
      <c r="ID54" t="e">
        <f>AND(Birds!DF23,"AAAAAHn2/u0=")</f>
        <v>#VALUE!</v>
      </c>
      <c r="IE54" t="e">
        <f>AND(Birds!DG23,"AAAAAHn2/u4=")</f>
        <v>#VALUE!</v>
      </c>
      <c r="IF54" t="e">
        <f>AND(Birds!DH23,"AAAAAHn2/u8=")</f>
        <v>#VALUE!</v>
      </c>
      <c r="IG54" t="e">
        <f>AND(Birds!DI23,"AAAAAHn2/vA=")</f>
        <v>#VALUE!</v>
      </c>
      <c r="IH54" t="e">
        <f>AND(Birds!DJ23,"AAAAAHn2/vE=")</f>
        <v>#VALUE!</v>
      </c>
      <c r="II54" t="e">
        <f>AND(Birds!DK23,"AAAAAHn2/vI=")</f>
        <v>#VALUE!</v>
      </c>
      <c r="IJ54" t="e">
        <f>AND(Birds!DL23,"AAAAAHn2/vM=")</f>
        <v>#VALUE!</v>
      </c>
      <c r="IK54" t="e">
        <f>AND(Birds!DM23,"AAAAAHn2/vQ=")</f>
        <v>#VALUE!</v>
      </c>
      <c r="IL54" t="e">
        <f>AND(Birds!DN23,"AAAAAHn2/vU=")</f>
        <v>#VALUE!</v>
      </c>
      <c r="IM54" t="e">
        <f>AND(Birds!DO23,"AAAAAHn2/vY=")</f>
        <v>#VALUE!</v>
      </c>
      <c r="IN54" t="e">
        <f>AND(Birds!DP23,"AAAAAHn2/vc=")</f>
        <v>#VALUE!</v>
      </c>
      <c r="IO54" t="e">
        <f>AND(Birds!DQ23,"AAAAAHn2/vg=")</f>
        <v>#VALUE!</v>
      </c>
      <c r="IP54" t="e">
        <f>AND(Birds!DR23,"AAAAAHn2/vk=")</f>
        <v>#VALUE!</v>
      </c>
      <c r="IQ54" t="e">
        <f>AND(Birds!DS23,"AAAAAHn2/vo=")</f>
        <v>#VALUE!</v>
      </c>
      <c r="IR54" t="e">
        <f>AND(Birds!DT23,"AAAAAHn2/vs=")</f>
        <v>#VALUE!</v>
      </c>
      <c r="IS54" t="e">
        <f>AND(Birds!DU23,"AAAAAHn2/vw=")</f>
        <v>#VALUE!</v>
      </c>
      <c r="IT54" t="e">
        <f>AND(Birds!DV23,"AAAAAHn2/v0=")</f>
        <v>#VALUE!</v>
      </c>
      <c r="IU54" t="e">
        <f>AND(Birds!DW23,"AAAAAHn2/v4=")</f>
        <v>#VALUE!</v>
      </c>
      <c r="IV54" t="e">
        <f>AND(Birds!DX23,"AAAAAHn2/v8=")</f>
        <v>#VALUE!</v>
      </c>
    </row>
    <row r="55" spans="1:256">
      <c r="A55" t="e">
        <f>AND(Birds!DY23,"AAAAAH3/OwA=")</f>
        <v>#VALUE!</v>
      </c>
      <c r="B55" t="e">
        <f>AND(Birds!DZ23,"AAAAAH3/OwE=")</f>
        <v>#VALUE!</v>
      </c>
      <c r="C55" t="e">
        <f>AND(Birds!EA23,"AAAAAH3/OwI=")</f>
        <v>#VALUE!</v>
      </c>
      <c r="D55" t="e">
        <f>AND(Birds!EB23,"AAAAAH3/OwM=")</f>
        <v>#VALUE!</v>
      </c>
      <c r="E55" t="e">
        <f>AND(Birds!EC23,"AAAAAH3/OwQ=")</f>
        <v>#VALUE!</v>
      </c>
      <c r="F55" t="e">
        <f>AND(Birds!ED23,"AAAAAH3/OwU=")</f>
        <v>#VALUE!</v>
      </c>
      <c r="G55" t="e">
        <f>AND(Birds!EE23,"AAAAAH3/OwY=")</f>
        <v>#VALUE!</v>
      </c>
      <c r="H55" t="e">
        <f>AND(Birds!EF23,"AAAAAH3/Owc=")</f>
        <v>#VALUE!</v>
      </c>
      <c r="I55" t="e">
        <f>AND(Birds!EG23,"AAAAAH3/Owg=")</f>
        <v>#VALUE!</v>
      </c>
      <c r="J55" t="e">
        <f>AND(Birds!EH23,"AAAAAH3/Owk=")</f>
        <v>#VALUE!</v>
      </c>
      <c r="K55" t="e">
        <f>AND(Birds!EI23,"AAAAAH3/Owo=")</f>
        <v>#VALUE!</v>
      </c>
      <c r="L55" t="e">
        <f>AND(Birds!EJ23,"AAAAAH3/Ows=")</f>
        <v>#VALUE!</v>
      </c>
      <c r="M55" t="e">
        <f>AND(Birds!EK23,"AAAAAH3/Oww=")</f>
        <v>#VALUE!</v>
      </c>
      <c r="N55" t="e">
        <f>AND(Birds!EL23,"AAAAAH3/Ow0=")</f>
        <v>#VALUE!</v>
      </c>
      <c r="O55" t="e">
        <f>AND(Birds!EM23,"AAAAAH3/Ow4=")</f>
        <v>#VALUE!</v>
      </c>
      <c r="P55" t="e">
        <f>AND(Birds!EN23,"AAAAAH3/Ow8=")</f>
        <v>#VALUE!</v>
      </c>
      <c r="Q55" t="e">
        <f>AND(Birds!EO23,"AAAAAH3/OxA=")</f>
        <v>#VALUE!</v>
      </c>
      <c r="R55" t="e">
        <f>AND(Birds!EP23,"AAAAAH3/OxE=")</f>
        <v>#VALUE!</v>
      </c>
      <c r="S55" t="e">
        <f>AND(Birds!EQ23,"AAAAAH3/OxI=")</f>
        <v>#VALUE!</v>
      </c>
      <c r="T55" t="e">
        <f>AND(Birds!ER23,"AAAAAH3/OxM=")</f>
        <v>#VALUE!</v>
      </c>
      <c r="U55" t="e">
        <f>AND(Birds!ES23,"AAAAAH3/OxQ=")</f>
        <v>#VALUE!</v>
      </c>
      <c r="V55" t="e">
        <f>AND(Birds!ET23,"AAAAAH3/OxU=")</f>
        <v>#VALUE!</v>
      </c>
      <c r="W55" t="e">
        <f>AND(Birds!EU23,"AAAAAH3/OxY=")</f>
        <v>#VALUE!</v>
      </c>
      <c r="X55" t="e">
        <f>AND(Birds!EV23,"AAAAAH3/Oxc=")</f>
        <v>#VALUE!</v>
      </c>
      <c r="Y55" t="e">
        <f>AND(Birds!EW23,"AAAAAH3/Oxg=")</f>
        <v>#VALUE!</v>
      </c>
      <c r="Z55" t="e">
        <f>AND(Birds!EX23,"AAAAAH3/Oxk=")</f>
        <v>#VALUE!</v>
      </c>
      <c r="AA55" t="e">
        <f>AND(Birds!EY23,"AAAAAH3/Oxo=")</f>
        <v>#VALUE!</v>
      </c>
      <c r="AB55" t="e">
        <f>AND(Birds!EZ23,"AAAAAH3/Oxs=")</f>
        <v>#VALUE!</v>
      </c>
      <c r="AC55" t="e">
        <f>AND(Birds!FA23,"AAAAAH3/Oxw=")</f>
        <v>#VALUE!</v>
      </c>
      <c r="AD55" t="e">
        <f>AND(Birds!FB23,"AAAAAH3/Ox0=")</f>
        <v>#VALUE!</v>
      </c>
      <c r="AE55" t="e">
        <f>AND(Birds!FC23,"AAAAAH3/Ox4=")</f>
        <v>#VALUE!</v>
      </c>
      <c r="AF55" t="e">
        <f>AND(Birds!FD23,"AAAAAH3/Ox8=")</f>
        <v>#VALUE!</v>
      </c>
      <c r="AG55" t="e">
        <f>AND(Birds!FE23,"AAAAAH3/OyA=")</f>
        <v>#VALUE!</v>
      </c>
      <c r="AH55" t="e">
        <f>AND(Birds!FF23,"AAAAAH3/OyE=")</f>
        <v>#VALUE!</v>
      </c>
      <c r="AI55" t="e">
        <f>AND(Birds!FG23,"AAAAAH3/OyI=")</f>
        <v>#VALUE!</v>
      </c>
      <c r="AJ55" t="e">
        <f>AND(Birds!FH23,"AAAAAH3/OyM=")</f>
        <v>#VALUE!</v>
      </c>
      <c r="AK55" t="e">
        <f>AND(Birds!FI23,"AAAAAH3/OyQ=")</f>
        <v>#VALUE!</v>
      </c>
      <c r="AL55" t="e">
        <f>AND(Birds!FJ23,"AAAAAH3/OyU=")</f>
        <v>#VALUE!</v>
      </c>
      <c r="AM55" t="e">
        <f>AND(Birds!FK23,"AAAAAH3/OyY=")</f>
        <v>#VALUE!</v>
      </c>
      <c r="AN55" t="e">
        <f>AND(Birds!FL23,"AAAAAH3/Oyc=")</f>
        <v>#VALUE!</v>
      </c>
      <c r="AO55" t="e">
        <f>AND(Birds!FM23,"AAAAAH3/Oyg=")</f>
        <v>#VALUE!</v>
      </c>
      <c r="AP55" t="e">
        <f>AND(Birds!FN23,"AAAAAH3/Oyk=")</f>
        <v>#VALUE!</v>
      </c>
      <c r="AQ55" t="e">
        <f>AND(Birds!FO23,"AAAAAH3/Oyo=")</f>
        <v>#VALUE!</v>
      </c>
      <c r="AR55" t="e">
        <f>AND(Birds!FP23,"AAAAAH3/Oys=")</f>
        <v>#VALUE!</v>
      </c>
      <c r="AS55" t="e">
        <f>AND(Birds!FQ23,"AAAAAH3/Oyw=")</f>
        <v>#VALUE!</v>
      </c>
      <c r="AT55" t="e">
        <f>AND(Birds!FR23,"AAAAAH3/Oy0=")</f>
        <v>#VALUE!</v>
      </c>
      <c r="AU55" t="e">
        <f>AND(Birds!FS23,"AAAAAH3/Oy4=")</f>
        <v>#VALUE!</v>
      </c>
      <c r="AV55" t="e">
        <f>AND(Birds!FT23,"AAAAAH3/Oy8=")</f>
        <v>#VALUE!</v>
      </c>
      <c r="AW55" t="e">
        <f>AND(Birds!FU23,"AAAAAH3/OzA=")</f>
        <v>#VALUE!</v>
      </c>
      <c r="AX55" t="e">
        <f>AND(Birds!FV23,"AAAAAH3/OzE=")</f>
        <v>#VALUE!</v>
      </c>
      <c r="AY55" t="e">
        <f>AND(Birds!FW23,"AAAAAH3/OzI=")</f>
        <v>#VALUE!</v>
      </c>
      <c r="AZ55" t="e">
        <f>AND(Birds!FX23,"AAAAAH3/OzM=")</f>
        <v>#VALUE!</v>
      </c>
      <c r="BA55" t="e">
        <f>AND(Birds!FY23,"AAAAAH3/OzQ=")</f>
        <v>#VALUE!</v>
      </c>
      <c r="BB55" t="e">
        <f>AND(Birds!FZ23,"AAAAAH3/OzU=")</f>
        <v>#VALUE!</v>
      </c>
      <c r="BC55" t="e">
        <f>AND(Birds!GA23,"AAAAAH3/OzY=")</f>
        <v>#VALUE!</v>
      </c>
      <c r="BD55" t="e">
        <f>AND(Birds!GB23,"AAAAAH3/Ozc=")</f>
        <v>#VALUE!</v>
      </c>
      <c r="BE55" t="e">
        <f>AND(Birds!GC23,"AAAAAH3/Ozg=")</f>
        <v>#VALUE!</v>
      </c>
      <c r="BF55" t="e">
        <f>AND(Birds!GD23,"AAAAAH3/Ozk=")</f>
        <v>#VALUE!</v>
      </c>
      <c r="BG55" t="e">
        <f>AND(Birds!GE23,"AAAAAH3/Ozo=")</f>
        <v>#VALUE!</v>
      </c>
      <c r="BH55" t="e">
        <f>AND(Birds!GF23,"AAAAAH3/Ozs=")</f>
        <v>#VALUE!</v>
      </c>
      <c r="BI55" t="e">
        <f>AND(Birds!GG23,"AAAAAH3/Ozw=")</f>
        <v>#VALUE!</v>
      </c>
      <c r="BJ55" t="e">
        <f>AND(Birds!GH23,"AAAAAH3/Oz0=")</f>
        <v>#VALUE!</v>
      </c>
      <c r="BK55" t="e">
        <f>AND(Birds!GI23,"AAAAAH3/Oz4=")</f>
        <v>#VALUE!</v>
      </c>
      <c r="BL55" t="e">
        <f>AND(Birds!GJ23,"AAAAAH3/Oz8=")</f>
        <v>#VALUE!</v>
      </c>
      <c r="BM55" t="e">
        <f>AND(Birds!GK23,"AAAAAH3/O0A=")</f>
        <v>#VALUE!</v>
      </c>
      <c r="BN55" t="e">
        <f>AND(Birds!GL23,"AAAAAH3/O0E=")</f>
        <v>#VALUE!</v>
      </c>
      <c r="BO55" t="e">
        <f>AND(Birds!GM23,"AAAAAH3/O0I=")</f>
        <v>#VALUE!</v>
      </c>
      <c r="BP55">
        <f>IF(Birds!24:24,"AAAAAH3/O0M=",0)</f>
        <v>0</v>
      </c>
      <c r="BQ55" t="e">
        <f>AND(Birds!A24,"AAAAAH3/O0Q=")</f>
        <v>#VALUE!</v>
      </c>
      <c r="BR55" t="e">
        <f>AND(Birds!B24,"AAAAAH3/O0U=")</f>
        <v>#VALUE!</v>
      </c>
      <c r="BS55" t="e">
        <f>AND(Birds!C24,"AAAAAH3/O0Y=")</f>
        <v>#VALUE!</v>
      </c>
      <c r="BT55" t="e">
        <f>AND(Birds!D24,"AAAAAH3/O0c=")</f>
        <v>#VALUE!</v>
      </c>
      <c r="BU55" t="e">
        <f>AND(Birds!E24,"AAAAAH3/O0g=")</f>
        <v>#VALUE!</v>
      </c>
      <c r="BV55" t="e">
        <f>AND(Birds!F24,"AAAAAH3/O0k=")</f>
        <v>#VALUE!</v>
      </c>
      <c r="BW55" t="e">
        <f>AND(Birds!G24,"AAAAAH3/O0o=")</f>
        <v>#VALUE!</v>
      </c>
      <c r="BX55" t="e">
        <f>AND(Birds!H24,"AAAAAH3/O0s=")</f>
        <v>#VALUE!</v>
      </c>
      <c r="BY55" t="e">
        <f>AND(Birds!I24,"AAAAAH3/O0w=")</f>
        <v>#VALUE!</v>
      </c>
      <c r="BZ55" t="e">
        <f>AND(Birds!J24,"AAAAAH3/O00=")</f>
        <v>#VALUE!</v>
      </c>
      <c r="CA55" t="e">
        <f>AND(Birds!K24,"AAAAAH3/O04=")</f>
        <v>#VALUE!</v>
      </c>
      <c r="CB55" t="e">
        <f>AND(Birds!L24,"AAAAAH3/O08=")</f>
        <v>#VALUE!</v>
      </c>
      <c r="CC55" t="e">
        <f>AND(Birds!M24,"AAAAAH3/O1A=")</f>
        <v>#VALUE!</v>
      </c>
      <c r="CD55" t="e">
        <f>AND(Birds!N24,"AAAAAH3/O1E=")</f>
        <v>#VALUE!</v>
      </c>
      <c r="CE55" t="e">
        <f>AND(Birds!O24,"AAAAAH3/O1I=")</f>
        <v>#VALUE!</v>
      </c>
      <c r="CF55" t="e">
        <f>AND(Birds!P24,"AAAAAH3/O1M=")</f>
        <v>#VALUE!</v>
      </c>
      <c r="CG55" t="e">
        <f>AND(Birds!Q24,"AAAAAH3/O1Q=")</f>
        <v>#VALUE!</v>
      </c>
      <c r="CH55" t="e">
        <f>AND(Birds!R24,"AAAAAH3/O1U=")</f>
        <v>#VALUE!</v>
      </c>
      <c r="CI55" t="e">
        <f>AND(Birds!S24,"AAAAAH3/O1Y=")</f>
        <v>#VALUE!</v>
      </c>
      <c r="CJ55" t="e">
        <f>AND(Birds!T24,"AAAAAH3/O1c=")</f>
        <v>#VALUE!</v>
      </c>
      <c r="CK55" t="e">
        <f>AND(Birds!U24,"AAAAAH3/O1g=")</f>
        <v>#VALUE!</v>
      </c>
      <c r="CL55" t="e">
        <f>AND(Birds!V24,"AAAAAH3/O1k=")</f>
        <v>#VALUE!</v>
      </c>
      <c r="CM55" t="e">
        <f>AND(Birds!W24,"AAAAAH3/O1o=")</f>
        <v>#VALUE!</v>
      </c>
      <c r="CN55" t="e">
        <f>AND(Birds!X24,"AAAAAH3/O1s=")</f>
        <v>#VALUE!</v>
      </c>
      <c r="CO55" t="e">
        <f>AND(Birds!Y24,"AAAAAH3/O1w=")</f>
        <v>#VALUE!</v>
      </c>
      <c r="CP55" t="e">
        <f>AND(Birds!Z24,"AAAAAH3/O10=")</f>
        <v>#VALUE!</v>
      </c>
      <c r="CQ55" t="e">
        <f>AND(Birds!AA24,"AAAAAH3/O14=")</f>
        <v>#VALUE!</v>
      </c>
      <c r="CR55" t="e">
        <f>AND(Birds!AB24,"AAAAAH3/O18=")</f>
        <v>#VALUE!</v>
      </c>
      <c r="CS55" t="e">
        <f>AND(Birds!AC24,"AAAAAH3/O2A=")</f>
        <v>#VALUE!</v>
      </c>
      <c r="CT55" t="e">
        <f>AND(Birds!AD24,"AAAAAH3/O2E=")</f>
        <v>#VALUE!</v>
      </c>
      <c r="CU55" t="e">
        <f>AND(Birds!AE24,"AAAAAH3/O2I=")</f>
        <v>#VALUE!</v>
      </c>
      <c r="CV55" t="e">
        <f>AND(Birds!AF24,"AAAAAH3/O2M=")</f>
        <v>#VALUE!</v>
      </c>
      <c r="CW55" t="e">
        <f>AND(Birds!AG24,"AAAAAH3/O2Q=")</f>
        <v>#VALUE!</v>
      </c>
      <c r="CX55" t="e">
        <f>AND(Birds!AH24,"AAAAAH3/O2U=")</f>
        <v>#VALUE!</v>
      </c>
      <c r="CY55" t="e">
        <f>AND(Birds!AI24,"AAAAAH3/O2Y=")</f>
        <v>#VALUE!</v>
      </c>
      <c r="CZ55" t="e">
        <f>AND(Birds!AJ24,"AAAAAH3/O2c=")</f>
        <v>#VALUE!</v>
      </c>
      <c r="DA55" t="e">
        <f>AND(Birds!AK24,"AAAAAH3/O2g=")</f>
        <v>#VALUE!</v>
      </c>
      <c r="DB55" t="e">
        <f>AND(Birds!AL24,"AAAAAH3/O2k=")</f>
        <v>#VALUE!</v>
      </c>
      <c r="DC55" t="e">
        <f>AND(Birds!AM24,"AAAAAH3/O2o=")</f>
        <v>#VALUE!</v>
      </c>
      <c r="DD55" t="e">
        <f>AND(Birds!AN24,"AAAAAH3/O2s=")</f>
        <v>#VALUE!</v>
      </c>
      <c r="DE55" t="e">
        <f>AND(Birds!AO24,"AAAAAH3/O2w=")</f>
        <v>#VALUE!</v>
      </c>
      <c r="DF55" t="e">
        <f>AND(Birds!AP24,"AAAAAH3/O20=")</f>
        <v>#VALUE!</v>
      </c>
      <c r="DG55" t="e">
        <f>AND(Birds!AQ24,"AAAAAH3/O24=")</f>
        <v>#VALUE!</v>
      </c>
      <c r="DH55" t="e">
        <f>AND(Birds!AR24,"AAAAAH3/O28=")</f>
        <v>#VALUE!</v>
      </c>
      <c r="DI55" t="e">
        <f>AND(Birds!AS24,"AAAAAH3/O3A=")</f>
        <v>#VALUE!</v>
      </c>
      <c r="DJ55" t="e">
        <f>AND(Birds!AT24,"AAAAAH3/O3E=")</f>
        <v>#VALUE!</v>
      </c>
      <c r="DK55" t="e">
        <f>AND(Birds!AU24,"AAAAAH3/O3I=")</f>
        <v>#VALUE!</v>
      </c>
      <c r="DL55" t="e">
        <f>AND(Birds!AV24,"AAAAAH3/O3M=")</f>
        <v>#VALUE!</v>
      </c>
      <c r="DM55" t="e">
        <f>AND(Birds!AW24,"AAAAAH3/O3Q=")</f>
        <v>#VALUE!</v>
      </c>
      <c r="DN55" t="e">
        <f>AND(Birds!AX24,"AAAAAH3/O3U=")</f>
        <v>#VALUE!</v>
      </c>
      <c r="DO55" t="e">
        <f>AND(Birds!AY24,"AAAAAH3/O3Y=")</f>
        <v>#VALUE!</v>
      </c>
      <c r="DP55" t="e">
        <f>AND(Birds!AZ24,"AAAAAH3/O3c=")</f>
        <v>#VALUE!</v>
      </c>
      <c r="DQ55" t="e">
        <f>AND(Birds!BA24,"AAAAAH3/O3g=")</f>
        <v>#VALUE!</v>
      </c>
      <c r="DR55" t="e">
        <f>AND(Birds!BB24,"AAAAAH3/O3k=")</f>
        <v>#VALUE!</v>
      </c>
      <c r="DS55" t="e">
        <f>AND(Birds!BC24,"AAAAAH3/O3o=")</f>
        <v>#VALUE!</v>
      </c>
      <c r="DT55" t="e">
        <f>AND(Birds!BD24,"AAAAAH3/O3s=")</f>
        <v>#VALUE!</v>
      </c>
      <c r="DU55" t="e">
        <f>AND(Birds!BE24,"AAAAAH3/O3w=")</f>
        <v>#VALUE!</v>
      </c>
      <c r="DV55" t="e">
        <f>AND(Birds!BF24,"AAAAAH3/O30=")</f>
        <v>#VALUE!</v>
      </c>
      <c r="DW55" t="e">
        <f>AND(Birds!BG24,"AAAAAH3/O34=")</f>
        <v>#VALUE!</v>
      </c>
      <c r="DX55" t="e">
        <f>AND(Birds!BH24,"AAAAAH3/O38=")</f>
        <v>#VALUE!</v>
      </c>
      <c r="DY55" t="e">
        <f>AND(Birds!BI24,"AAAAAH3/O4A=")</f>
        <v>#VALUE!</v>
      </c>
      <c r="DZ55" t="e">
        <f>AND(Birds!BJ24,"AAAAAH3/O4E=")</f>
        <v>#VALUE!</v>
      </c>
      <c r="EA55" t="e">
        <f>AND(Birds!BK24,"AAAAAH3/O4I=")</f>
        <v>#VALUE!</v>
      </c>
      <c r="EB55" t="e">
        <f>AND(Birds!BL24,"AAAAAH3/O4M=")</f>
        <v>#VALUE!</v>
      </c>
      <c r="EC55" t="e">
        <f>AND(Birds!BM24,"AAAAAH3/O4Q=")</f>
        <v>#VALUE!</v>
      </c>
      <c r="ED55" t="e">
        <f>AND(Birds!BN24,"AAAAAH3/O4U=")</f>
        <v>#VALUE!</v>
      </c>
      <c r="EE55" t="e">
        <f>AND(Birds!BO24,"AAAAAH3/O4Y=")</f>
        <v>#VALUE!</v>
      </c>
      <c r="EF55" t="e">
        <f>AND(Birds!BP24,"AAAAAH3/O4c=")</f>
        <v>#VALUE!</v>
      </c>
      <c r="EG55" t="e">
        <f>AND(Birds!BQ24,"AAAAAH3/O4g=")</f>
        <v>#VALUE!</v>
      </c>
      <c r="EH55" t="e">
        <f>AND(Birds!BR24,"AAAAAH3/O4k=")</f>
        <v>#VALUE!</v>
      </c>
      <c r="EI55" t="e">
        <f>AND(Birds!BS24,"AAAAAH3/O4o=")</f>
        <v>#VALUE!</v>
      </c>
      <c r="EJ55" t="e">
        <f>AND(Birds!BT24,"AAAAAH3/O4s=")</f>
        <v>#VALUE!</v>
      </c>
      <c r="EK55" t="e">
        <f>AND(Birds!BU24,"AAAAAH3/O4w=")</f>
        <v>#VALUE!</v>
      </c>
      <c r="EL55" t="e">
        <f>AND(Birds!BV24,"AAAAAH3/O40=")</f>
        <v>#VALUE!</v>
      </c>
      <c r="EM55" t="e">
        <f>AND(Birds!BW24,"AAAAAH3/O44=")</f>
        <v>#VALUE!</v>
      </c>
      <c r="EN55" t="e">
        <f>AND(Birds!BX24,"AAAAAH3/O48=")</f>
        <v>#VALUE!</v>
      </c>
      <c r="EO55" t="e">
        <f>AND(Birds!BY24,"AAAAAH3/O5A=")</f>
        <v>#VALUE!</v>
      </c>
      <c r="EP55" t="e">
        <f>AND(Birds!BZ24,"AAAAAH3/O5E=")</f>
        <v>#VALUE!</v>
      </c>
      <c r="EQ55" t="e">
        <f>AND(Birds!CA24,"AAAAAH3/O5I=")</f>
        <v>#VALUE!</v>
      </c>
      <c r="ER55" t="e">
        <f>AND(Birds!CB24,"AAAAAH3/O5M=")</f>
        <v>#VALUE!</v>
      </c>
      <c r="ES55" t="e">
        <f>AND(Birds!CC24,"AAAAAH3/O5Q=")</f>
        <v>#VALUE!</v>
      </c>
      <c r="ET55" t="e">
        <f>AND(Birds!CD24,"AAAAAH3/O5U=")</f>
        <v>#VALUE!</v>
      </c>
      <c r="EU55" t="e">
        <f>AND(Birds!CE24,"AAAAAH3/O5Y=")</f>
        <v>#VALUE!</v>
      </c>
      <c r="EV55" t="e">
        <f>AND(Birds!CF24,"AAAAAH3/O5c=")</f>
        <v>#VALUE!</v>
      </c>
      <c r="EW55" t="e">
        <f>AND(Birds!CG24,"AAAAAH3/O5g=")</f>
        <v>#VALUE!</v>
      </c>
      <c r="EX55" t="e">
        <f>AND(Birds!CH24,"AAAAAH3/O5k=")</f>
        <v>#VALUE!</v>
      </c>
      <c r="EY55" t="e">
        <f>AND(Birds!CI24,"AAAAAH3/O5o=")</f>
        <v>#VALUE!</v>
      </c>
      <c r="EZ55" t="e">
        <f>AND(Birds!CJ24,"AAAAAH3/O5s=")</f>
        <v>#VALUE!</v>
      </c>
      <c r="FA55" t="e">
        <f>AND(Birds!CK24,"AAAAAH3/O5w=")</f>
        <v>#VALUE!</v>
      </c>
      <c r="FB55" t="e">
        <f>AND(Birds!CL24,"AAAAAH3/O50=")</f>
        <v>#VALUE!</v>
      </c>
      <c r="FC55" t="e">
        <f>AND(Birds!CM24,"AAAAAH3/O54=")</f>
        <v>#VALUE!</v>
      </c>
      <c r="FD55" t="e">
        <f>AND(Birds!CN24,"AAAAAH3/O58=")</f>
        <v>#VALUE!</v>
      </c>
      <c r="FE55" t="e">
        <f>AND(Birds!CO24,"AAAAAH3/O6A=")</f>
        <v>#VALUE!</v>
      </c>
      <c r="FF55" t="e">
        <f>AND(Birds!CP24,"AAAAAH3/O6E=")</f>
        <v>#VALUE!</v>
      </c>
      <c r="FG55" t="e">
        <f>AND(Birds!CQ24,"AAAAAH3/O6I=")</f>
        <v>#VALUE!</v>
      </c>
      <c r="FH55" t="e">
        <f>AND(Birds!CR24,"AAAAAH3/O6M=")</f>
        <v>#VALUE!</v>
      </c>
      <c r="FI55" t="e">
        <f>AND(Birds!CS24,"AAAAAH3/O6Q=")</f>
        <v>#VALUE!</v>
      </c>
      <c r="FJ55" t="e">
        <f>AND(Birds!CT24,"AAAAAH3/O6U=")</f>
        <v>#VALUE!</v>
      </c>
      <c r="FK55" t="e">
        <f>AND(Birds!CU24,"AAAAAH3/O6Y=")</f>
        <v>#VALUE!</v>
      </c>
      <c r="FL55" t="e">
        <f>AND(Birds!CV24,"AAAAAH3/O6c=")</f>
        <v>#VALUE!</v>
      </c>
      <c r="FM55" t="e">
        <f>AND(Birds!CW24,"AAAAAH3/O6g=")</f>
        <v>#VALUE!</v>
      </c>
      <c r="FN55" t="e">
        <f>AND(Birds!CX24,"AAAAAH3/O6k=")</f>
        <v>#VALUE!</v>
      </c>
      <c r="FO55" t="e">
        <f>AND(Birds!CY24,"AAAAAH3/O6o=")</f>
        <v>#VALUE!</v>
      </c>
      <c r="FP55" t="e">
        <f>AND(Birds!CZ24,"AAAAAH3/O6s=")</f>
        <v>#VALUE!</v>
      </c>
      <c r="FQ55" t="e">
        <f>AND(Birds!DA24,"AAAAAH3/O6w=")</f>
        <v>#VALUE!</v>
      </c>
      <c r="FR55" t="e">
        <f>AND(Birds!DB24,"AAAAAH3/O60=")</f>
        <v>#VALUE!</v>
      </c>
      <c r="FS55" t="e">
        <f>AND(Birds!DC24,"AAAAAH3/O64=")</f>
        <v>#VALUE!</v>
      </c>
      <c r="FT55" t="e">
        <f>AND(Birds!DD24,"AAAAAH3/O68=")</f>
        <v>#VALUE!</v>
      </c>
      <c r="FU55" t="e">
        <f>AND(Birds!DE24,"AAAAAH3/O7A=")</f>
        <v>#VALUE!</v>
      </c>
      <c r="FV55" t="e">
        <f>AND(Birds!DF24,"AAAAAH3/O7E=")</f>
        <v>#VALUE!</v>
      </c>
      <c r="FW55" t="e">
        <f>AND(Birds!DG24,"AAAAAH3/O7I=")</f>
        <v>#VALUE!</v>
      </c>
      <c r="FX55" t="e">
        <f>AND(Birds!DH24,"AAAAAH3/O7M=")</f>
        <v>#VALUE!</v>
      </c>
      <c r="FY55" t="e">
        <f>AND(Birds!DI24,"AAAAAH3/O7Q=")</f>
        <v>#VALUE!</v>
      </c>
      <c r="FZ55" t="e">
        <f>AND(Birds!DJ24,"AAAAAH3/O7U=")</f>
        <v>#VALUE!</v>
      </c>
      <c r="GA55" t="e">
        <f>AND(Birds!DK24,"AAAAAH3/O7Y=")</f>
        <v>#VALUE!</v>
      </c>
      <c r="GB55" t="e">
        <f>AND(Birds!DL24,"AAAAAH3/O7c=")</f>
        <v>#VALUE!</v>
      </c>
      <c r="GC55" t="e">
        <f>AND(Birds!DM24,"AAAAAH3/O7g=")</f>
        <v>#VALUE!</v>
      </c>
      <c r="GD55" t="e">
        <f>AND(Birds!DN24,"AAAAAH3/O7k=")</f>
        <v>#VALUE!</v>
      </c>
      <c r="GE55" t="e">
        <f>AND(Birds!DO24,"AAAAAH3/O7o=")</f>
        <v>#VALUE!</v>
      </c>
      <c r="GF55" t="e">
        <f>AND(Birds!DP24,"AAAAAH3/O7s=")</f>
        <v>#VALUE!</v>
      </c>
      <c r="GG55" t="e">
        <f>AND(Birds!DQ24,"AAAAAH3/O7w=")</f>
        <v>#VALUE!</v>
      </c>
      <c r="GH55" t="e">
        <f>AND(Birds!DR24,"AAAAAH3/O70=")</f>
        <v>#VALUE!</v>
      </c>
      <c r="GI55" t="e">
        <f>AND(Birds!DS24,"AAAAAH3/O74=")</f>
        <v>#VALUE!</v>
      </c>
      <c r="GJ55" t="e">
        <f>AND(Birds!DT24,"AAAAAH3/O78=")</f>
        <v>#VALUE!</v>
      </c>
      <c r="GK55" t="e">
        <f>AND(Birds!DU24,"AAAAAH3/O8A=")</f>
        <v>#VALUE!</v>
      </c>
      <c r="GL55" t="e">
        <f>AND(Birds!DV24,"AAAAAH3/O8E=")</f>
        <v>#VALUE!</v>
      </c>
      <c r="GM55" t="e">
        <f>AND(Birds!DW24,"AAAAAH3/O8I=")</f>
        <v>#VALUE!</v>
      </c>
      <c r="GN55" t="e">
        <f>AND(Birds!DX24,"AAAAAH3/O8M=")</f>
        <v>#VALUE!</v>
      </c>
      <c r="GO55" t="e">
        <f>AND(Birds!DY24,"AAAAAH3/O8Q=")</f>
        <v>#VALUE!</v>
      </c>
      <c r="GP55" t="e">
        <f>AND(Birds!DZ24,"AAAAAH3/O8U=")</f>
        <v>#VALUE!</v>
      </c>
      <c r="GQ55" t="e">
        <f>AND(Birds!EA24,"AAAAAH3/O8Y=")</f>
        <v>#VALUE!</v>
      </c>
      <c r="GR55" t="e">
        <f>AND(Birds!EB24,"AAAAAH3/O8c=")</f>
        <v>#VALUE!</v>
      </c>
      <c r="GS55" t="e">
        <f>AND(Birds!EC24,"AAAAAH3/O8g=")</f>
        <v>#VALUE!</v>
      </c>
      <c r="GT55" t="e">
        <f>AND(Birds!ED24,"AAAAAH3/O8k=")</f>
        <v>#VALUE!</v>
      </c>
      <c r="GU55" t="e">
        <f>AND(Birds!EE24,"AAAAAH3/O8o=")</f>
        <v>#VALUE!</v>
      </c>
      <c r="GV55" t="e">
        <f>AND(Birds!EF24,"AAAAAH3/O8s=")</f>
        <v>#VALUE!</v>
      </c>
      <c r="GW55" t="e">
        <f>AND(Birds!EG24,"AAAAAH3/O8w=")</f>
        <v>#VALUE!</v>
      </c>
      <c r="GX55" t="e">
        <f>AND(Birds!EH24,"AAAAAH3/O80=")</f>
        <v>#VALUE!</v>
      </c>
      <c r="GY55" t="e">
        <f>AND(Birds!EI24,"AAAAAH3/O84=")</f>
        <v>#VALUE!</v>
      </c>
      <c r="GZ55" t="e">
        <f>AND(Birds!EJ24,"AAAAAH3/O88=")</f>
        <v>#VALUE!</v>
      </c>
      <c r="HA55" t="e">
        <f>AND(Birds!EK24,"AAAAAH3/O9A=")</f>
        <v>#VALUE!</v>
      </c>
      <c r="HB55" t="e">
        <f>AND(Birds!EL24,"AAAAAH3/O9E=")</f>
        <v>#VALUE!</v>
      </c>
      <c r="HC55" t="e">
        <f>AND(Birds!EM24,"AAAAAH3/O9I=")</f>
        <v>#VALUE!</v>
      </c>
      <c r="HD55" t="e">
        <f>AND(Birds!EN24,"AAAAAH3/O9M=")</f>
        <v>#VALUE!</v>
      </c>
      <c r="HE55" t="e">
        <f>AND(Birds!EO24,"AAAAAH3/O9Q=")</f>
        <v>#VALUE!</v>
      </c>
      <c r="HF55" t="e">
        <f>AND(Birds!EP24,"AAAAAH3/O9U=")</f>
        <v>#VALUE!</v>
      </c>
      <c r="HG55" t="e">
        <f>AND(Birds!EQ24,"AAAAAH3/O9Y=")</f>
        <v>#VALUE!</v>
      </c>
      <c r="HH55" t="e">
        <f>AND(Birds!ER24,"AAAAAH3/O9c=")</f>
        <v>#VALUE!</v>
      </c>
      <c r="HI55" t="e">
        <f>AND(Birds!ES24,"AAAAAH3/O9g=")</f>
        <v>#VALUE!</v>
      </c>
      <c r="HJ55" t="e">
        <f>AND(Birds!ET24,"AAAAAH3/O9k=")</f>
        <v>#VALUE!</v>
      </c>
      <c r="HK55" t="e">
        <f>AND(Birds!EU24,"AAAAAH3/O9o=")</f>
        <v>#VALUE!</v>
      </c>
      <c r="HL55" t="e">
        <f>AND(Birds!EV24,"AAAAAH3/O9s=")</f>
        <v>#VALUE!</v>
      </c>
      <c r="HM55" t="e">
        <f>AND(Birds!EW24,"AAAAAH3/O9w=")</f>
        <v>#VALUE!</v>
      </c>
      <c r="HN55" t="e">
        <f>AND(Birds!EX24,"AAAAAH3/O90=")</f>
        <v>#VALUE!</v>
      </c>
      <c r="HO55" t="e">
        <f>AND(Birds!EY24,"AAAAAH3/O94=")</f>
        <v>#VALUE!</v>
      </c>
      <c r="HP55" t="e">
        <f>AND(Birds!EZ24,"AAAAAH3/O98=")</f>
        <v>#VALUE!</v>
      </c>
      <c r="HQ55" t="e">
        <f>AND(Birds!FA24,"AAAAAH3/O+A=")</f>
        <v>#VALUE!</v>
      </c>
      <c r="HR55" t="e">
        <f>AND(Birds!FB24,"AAAAAH3/O+E=")</f>
        <v>#VALUE!</v>
      </c>
      <c r="HS55" t="e">
        <f>AND(Birds!FC24,"AAAAAH3/O+I=")</f>
        <v>#VALUE!</v>
      </c>
      <c r="HT55" t="e">
        <f>AND(Birds!FD24,"AAAAAH3/O+M=")</f>
        <v>#VALUE!</v>
      </c>
      <c r="HU55" t="e">
        <f>AND(Birds!FE24,"AAAAAH3/O+Q=")</f>
        <v>#VALUE!</v>
      </c>
      <c r="HV55" t="e">
        <f>AND(Birds!FF24,"AAAAAH3/O+U=")</f>
        <v>#VALUE!</v>
      </c>
      <c r="HW55" t="e">
        <f>AND(Birds!FG24,"AAAAAH3/O+Y=")</f>
        <v>#VALUE!</v>
      </c>
      <c r="HX55" t="e">
        <f>AND(Birds!FH24,"AAAAAH3/O+c=")</f>
        <v>#VALUE!</v>
      </c>
      <c r="HY55" t="e">
        <f>AND(Birds!FI24,"AAAAAH3/O+g=")</f>
        <v>#VALUE!</v>
      </c>
      <c r="HZ55" t="e">
        <f>AND(Birds!FJ24,"AAAAAH3/O+k=")</f>
        <v>#VALUE!</v>
      </c>
      <c r="IA55" t="e">
        <f>AND(Birds!FK24,"AAAAAH3/O+o=")</f>
        <v>#VALUE!</v>
      </c>
      <c r="IB55" t="e">
        <f>AND(Birds!FL24,"AAAAAH3/O+s=")</f>
        <v>#VALUE!</v>
      </c>
      <c r="IC55" t="e">
        <f>AND(Birds!FM24,"AAAAAH3/O+w=")</f>
        <v>#VALUE!</v>
      </c>
      <c r="ID55" t="e">
        <f>AND(Birds!FN24,"AAAAAH3/O+0=")</f>
        <v>#VALUE!</v>
      </c>
      <c r="IE55" t="e">
        <f>AND(Birds!FO24,"AAAAAH3/O+4=")</f>
        <v>#VALUE!</v>
      </c>
      <c r="IF55" t="e">
        <f>AND(Birds!FP24,"AAAAAH3/O+8=")</f>
        <v>#VALUE!</v>
      </c>
      <c r="IG55" t="e">
        <f>AND(Birds!FQ24,"AAAAAH3/O/A=")</f>
        <v>#VALUE!</v>
      </c>
      <c r="IH55" t="e">
        <f>AND(Birds!FR24,"AAAAAH3/O/E=")</f>
        <v>#VALUE!</v>
      </c>
      <c r="II55" t="e">
        <f>AND(Birds!FS24,"AAAAAH3/O/I=")</f>
        <v>#VALUE!</v>
      </c>
      <c r="IJ55" t="e">
        <f>AND(Birds!FT24,"AAAAAH3/O/M=")</f>
        <v>#VALUE!</v>
      </c>
      <c r="IK55" t="e">
        <f>AND(Birds!FU24,"AAAAAH3/O/Q=")</f>
        <v>#VALUE!</v>
      </c>
      <c r="IL55" t="e">
        <f>AND(Birds!FV24,"AAAAAH3/O/U=")</f>
        <v>#VALUE!</v>
      </c>
      <c r="IM55" t="e">
        <f>AND(Birds!FW24,"AAAAAH3/O/Y=")</f>
        <v>#VALUE!</v>
      </c>
      <c r="IN55" t="e">
        <f>AND(Birds!FX24,"AAAAAH3/O/c=")</f>
        <v>#VALUE!</v>
      </c>
      <c r="IO55" t="e">
        <f>AND(Birds!FY24,"AAAAAH3/O/g=")</f>
        <v>#VALUE!</v>
      </c>
      <c r="IP55" t="e">
        <f>AND(Birds!FZ24,"AAAAAH3/O/k=")</f>
        <v>#VALUE!</v>
      </c>
      <c r="IQ55" t="e">
        <f>AND(Birds!GA24,"AAAAAH3/O/o=")</f>
        <v>#VALUE!</v>
      </c>
      <c r="IR55" t="e">
        <f>AND(Birds!GB24,"AAAAAH3/O/s=")</f>
        <v>#VALUE!</v>
      </c>
      <c r="IS55" t="e">
        <f>AND(Birds!GC24,"AAAAAH3/O/w=")</f>
        <v>#VALUE!</v>
      </c>
      <c r="IT55" t="e">
        <f>AND(Birds!GD24,"AAAAAH3/O/0=")</f>
        <v>#VALUE!</v>
      </c>
      <c r="IU55" t="e">
        <f>AND(Birds!GE24,"AAAAAH3/O/4=")</f>
        <v>#VALUE!</v>
      </c>
      <c r="IV55" t="e">
        <f>AND(Birds!GF24,"AAAAAH3/O/8=")</f>
        <v>#VALUE!</v>
      </c>
    </row>
    <row r="56" spans="1:256">
      <c r="A56" t="e">
        <f>AND(Birds!GG24,"AAAAADbL9wA=")</f>
        <v>#VALUE!</v>
      </c>
      <c r="B56" t="e">
        <f>AND(Birds!GH24,"AAAAADbL9wE=")</f>
        <v>#VALUE!</v>
      </c>
      <c r="C56" t="e">
        <f>AND(Birds!GI24,"AAAAADbL9wI=")</f>
        <v>#VALUE!</v>
      </c>
      <c r="D56" t="e">
        <f>AND(Birds!GJ24,"AAAAADbL9wM=")</f>
        <v>#VALUE!</v>
      </c>
      <c r="E56" t="e">
        <f>AND(Birds!GK24,"AAAAADbL9wQ=")</f>
        <v>#VALUE!</v>
      </c>
      <c r="F56" t="e">
        <f>AND(Birds!GL24,"AAAAADbL9wU=")</f>
        <v>#VALUE!</v>
      </c>
      <c r="G56" t="e">
        <f>AND(Birds!GM24,"AAAAADbL9wY=")</f>
        <v>#VALUE!</v>
      </c>
      <c r="H56" t="e">
        <f>IF(Birds!25:25,"AAAAADbL9wc=",0)</f>
        <v>#VALUE!</v>
      </c>
      <c r="I56" t="e">
        <f>AND(Birds!A25,"AAAAADbL9wg=")</f>
        <v>#VALUE!</v>
      </c>
      <c r="J56" t="e">
        <f>AND(Birds!B25,"AAAAADbL9wk=")</f>
        <v>#VALUE!</v>
      </c>
      <c r="K56" t="e">
        <f>AND(Birds!C25,"AAAAADbL9wo=")</f>
        <v>#VALUE!</v>
      </c>
      <c r="L56" t="e">
        <f>AND(Birds!D25,"AAAAADbL9ws=")</f>
        <v>#VALUE!</v>
      </c>
      <c r="M56" t="e">
        <f>AND(Birds!E25,"AAAAADbL9ww=")</f>
        <v>#VALUE!</v>
      </c>
      <c r="N56" t="e">
        <f>AND(Birds!F25,"AAAAADbL9w0=")</f>
        <v>#VALUE!</v>
      </c>
      <c r="O56" t="e">
        <f>AND(Birds!G25,"AAAAADbL9w4=")</f>
        <v>#VALUE!</v>
      </c>
      <c r="P56" t="e">
        <f>AND(Birds!H25,"AAAAADbL9w8=")</f>
        <v>#VALUE!</v>
      </c>
      <c r="Q56" t="e">
        <f>AND(Birds!I25,"AAAAADbL9xA=")</f>
        <v>#VALUE!</v>
      </c>
      <c r="R56" t="e">
        <f>AND(Birds!J25,"AAAAADbL9xE=")</f>
        <v>#VALUE!</v>
      </c>
      <c r="S56" t="e">
        <f>AND(Birds!K25,"AAAAADbL9xI=")</f>
        <v>#VALUE!</v>
      </c>
      <c r="T56" t="e">
        <f>AND(Birds!L25,"AAAAADbL9xM=")</f>
        <v>#VALUE!</v>
      </c>
      <c r="U56" t="e">
        <f>AND(Birds!M25,"AAAAADbL9xQ=")</f>
        <v>#VALUE!</v>
      </c>
      <c r="V56" t="e">
        <f>AND(Birds!N25,"AAAAADbL9xU=")</f>
        <v>#VALUE!</v>
      </c>
      <c r="W56" t="e">
        <f>AND(Birds!O25,"AAAAADbL9xY=")</f>
        <v>#VALUE!</v>
      </c>
      <c r="X56" t="e">
        <f>AND(Birds!P25,"AAAAADbL9xc=")</f>
        <v>#VALUE!</v>
      </c>
      <c r="Y56" t="e">
        <f>AND(Birds!Q25,"AAAAADbL9xg=")</f>
        <v>#VALUE!</v>
      </c>
      <c r="Z56" t="e">
        <f>AND(Birds!R25,"AAAAADbL9xk=")</f>
        <v>#VALUE!</v>
      </c>
      <c r="AA56" t="e">
        <f>AND(Birds!S25,"AAAAADbL9xo=")</f>
        <v>#VALUE!</v>
      </c>
      <c r="AB56" t="e">
        <f>AND(Birds!T25,"AAAAADbL9xs=")</f>
        <v>#VALUE!</v>
      </c>
      <c r="AC56" t="e">
        <f>AND(Birds!U25,"AAAAADbL9xw=")</f>
        <v>#VALUE!</v>
      </c>
      <c r="AD56" t="e">
        <f>AND(Birds!V25,"AAAAADbL9x0=")</f>
        <v>#VALUE!</v>
      </c>
      <c r="AE56" t="e">
        <f>AND(Birds!W25,"AAAAADbL9x4=")</f>
        <v>#VALUE!</v>
      </c>
      <c r="AF56" t="e">
        <f>AND(Birds!X25,"AAAAADbL9x8=")</f>
        <v>#VALUE!</v>
      </c>
      <c r="AG56" t="e">
        <f>AND(Birds!Y25,"AAAAADbL9yA=")</f>
        <v>#VALUE!</v>
      </c>
      <c r="AH56" t="e">
        <f>AND(Birds!Z25,"AAAAADbL9yE=")</f>
        <v>#VALUE!</v>
      </c>
      <c r="AI56" t="e">
        <f>AND(Birds!AA25,"AAAAADbL9yI=")</f>
        <v>#VALUE!</v>
      </c>
      <c r="AJ56" t="e">
        <f>AND(Birds!AB25,"AAAAADbL9yM=")</f>
        <v>#VALUE!</v>
      </c>
      <c r="AK56" t="e">
        <f>AND(Birds!AC25,"AAAAADbL9yQ=")</f>
        <v>#VALUE!</v>
      </c>
      <c r="AL56" t="e">
        <f>AND(Birds!AD25,"AAAAADbL9yU=")</f>
        <v>#VALUE!</v>
      </c>
      <c r="AM56" t="e">
        <f>AND(Birds!AE25,"AAAAADbL9yY=")</f>
        <v>#VALUE!</v>
      </c>
      <c r="AN56" t="e">
        <f>AND(Birds!AF25,"AAAAADbL9yc=")</f>
        <v>#VALUE!</v>
      </c>
      <c r="AO56" t="e">
        <f>AND(Birds!AG25,"AAAAADbL9yg=")</f>
        <v>#VALUE!</v>
      </c>
      <c r="AP56" t="e">
        <f>AND(Birds!AH25,"AAAAADbL9yk=")</f>
        <v>#VALUE!</v>
      </c>
      <c r="AQ56" t="e">
        <f>AND(Birds!AI25,"AAAAADbL9yo=")</f>
        <v>#VALUE!</v>
      </c>
      <c r="AR56" t="e">
        <f>AND(Birds!AJ25,"AAAAADbL9ys=")</f>
        <v>#VALUE!</v>
      </c>
      <c r="AS56" t="e">
        <f>AND(Birds!AK25,"AAAAADbL9yw=")</f>
        <v>#VALUE!</v>
      </c>
      <c r="AT56" t="e">
        <f>AND(Birds!AL25,"AAAAADbL9y0=")</f>
        <v>#VALUE!</v>
      </c>
      <c r="AU56" t="e">
        <f>AND(Birds!AM25,"AAAAADbL9y4=")</f>
        <v>#VALUE!</v>
      </c>
      <c r="AV56" t="e">
        <f>AND(Birds!AN25,"AAAAADbL9y8=")</f>
        <v>#VALUE!</v>
      </c>
      <c r="AW56" t="e">
        <f>AND(Birds!AO25,"AAAAADbL9zA=")</f>
        <v>#VALUE!</v>
      </c>
      <c r="AX56" t="e">
        <f>AND(Birds!AP25,"AAAAADbL9zE=")</f>
        <v>#VALUE!</v>
      </c>
      <c r="AY56" t="e">
        <f>AND(Birds!AQ25,"AAAAADbL9zI=")</f>
        <v>#VALUE!</v>
      </c>
      <c r="AZ56" t="e">
        <f>AND(Birds!AR25,"AAAAADbL9zM=")</f>
        <v>#VALUE!</v>
      </c>
      <c r="BA56" t="e">
        <f>AND(Birds!AS25,"AAAAADbL9zQ=")</f>
        <v>#VALUE!</v>
      </c>
      <c r="BB56" t="e">
        <f>AND(Birds!AT25,"AAAAADbL9zU=")</f>
        <v>#VALUE!</v>
      </c>
      <c r="BC56" t="e">
        <f>AND(Birds!AU25,"AAAAADbL9zY=")</f>
        <v>#VALUE!</v>
      </c>
      <c r="BD56" t="e">
        <f>AND(Birds!AV25,"AAAAADbL9zc=")</f>
        <v>#VALUE!</v>
      </c>
      <c r="BE56" t="e">
        <f>AND(Birds!AW25,"AAAAADbL9zg=")</f>
        <v>#VALUE!</v>
      </c>
      <c r="BF56" t="e">
        <f>AND(Birds!AX25,"AAAAADbL9zk=")</f>
        <v>#VALUE!</v>
      </c>
      <c r="BG56" t="e">
        <f>AND(Birds!AY25,"AAAAADbL9zo=")</f>
        <v>#VALUE!</v>
      </c>
      <c r="BH56" t="e">
        <f>AND(Birds!AZ25,"AAAAADbL9zs=")</f>
        <v>#VALUE!</v>
      </c>
      <c r="BI56" t="e">
        <f>AND(Birds!BA25,"AAAAADbL9zw=")</f>
        <v>#VALUE!</v>
      </c>
      <c r="BJ56" t="e">
        <f>AND(Birds!BB25,"AAAAADbL9z0=")</f>
        <v>#VALUE!</v>
      </c>
      <c r="BK56" t="e">
        <f>AND(Birds!BC25,"AAAAADbL9z4=")</f>
        <v>#VALUE!</v>
      </c>
      <c r="BL56" t="e">
        <f>AND(Birds!BD25,"AAAAADbL9z8=")</f>
        <v>#VALUE!</v>
      </c>
      <c r="BM56" t="e">
        <f>AND(Birds!BE25,"AAAAADbL90A=")</f>
        <v>#VALUE!</v>
      </c>
      <c r="BN56" t="e">
        <f>AND(Birds!BF25,"AAAAADbL90E=")</f>
        <v>#VALUE!</v>
      </c>
      <c r="BO56" t="e">
        <f>AND(Birds!BG25,"AAAAADbL90I=")</f>
        <v>#VALUE!</v>
      </c>
      <c r="BP56" t="e">
        <f>AND(Birds!BH25,"AAAAADbL90M=")</f>
        <v>#VALUE!</v>
      </c>
      <c r="BQ56" t="e">
        <f>AND(Birds!BI25,"AAAAADbL90Q=")</f>
        <v>#VALUE!</v>
      </c>
      <c r="BR56" t="e">
        <f>AND(Birds!BJ25,"AAAAADbL90U=")</f>
        <v>#VALUE!</v>
      </c>
      <c r="BS56" t="e">
        <f>AND(Birds!BK25,"AAAAADbL90Y=")</f>
        <v>#VALUE!</v>
      </c>
      <c r="BT56" t="e">
        <f>AND(Birds!BL25,"AAAAADbL90c=")</f>
        <v>#VALUE!</v>
      </c>
      <c r="BU56" t="e">
        <f>AND(Birds!BM25,"AAAAADbL90g=")</f>
        <v>#VALUE!</v>
      </c>
      <c r="BV56" t="e">
        <f>AND(Birds!BN25,"AAAAADbL90k=")</f>
        <v>#VALUE!</v>
      </c>
      <c r="BW56" t="e">
        <f>AND(Birds!BO25,"AAAAADbL90o=")</f>
        <v>#VALUE!</v>
      </c>
      <c r="BX56" t="e">
        <f>AND(Birds!BP25,"AAAAADbL90s=")</f>
        <v>#VALUE!</v>
      </c>
      <c r="BY56" t="e">
        <f>AND(Birds!BQ25,"AAAAADbL90w=")</f>
        <v>#VALUE!</v>
      </c>
      <c r="BZ56" t="e">
        <f>AND(Birds!BR25,"AAAAADbL900=")</f>
        <v>#VALUE!</v>
      </c>
      <c r="CA56" t="e">
        <f>AND(Birds!BS25,"AAAAADbL904=")</f>
        <v>#VALUE!</v>
      </c>
      <c r="CB56" t="e">
        <f>AND(Birds!BT25,"AAAAADbL908=")</f>
        <v>#VALUE!</v>
      </c>
      <c r="CC56" t="e">
        <f>AND(Birds!BU25,"AAAAADbL91A=")</f>
        <v>#VALUE!</v>
      </c>
      <c r="CD56" t="e">
        <f>AND(Birds!BV25,"AAAAADbL91E=")</f>
        <v>#VALUE!</v>
      </c>
      <c r="CE56" t="e">
        <f>AND(Birds!BW25,"AAAAADbL91I=")</f>
        <v>#VALUE!</v>
      </c>
      <c r="CF56" t="e">
        <f>AND(Birds!BX25,"AAAAADbL91M=")</f>
        <v>#VALUE!</v>
      </c>
      <c r="CG56" t="e">
        <f>AND(Birds!BY25,"AAAAADbL91Q=")</f>
        <v>#VALUE!</v>
      </c>
      <c r="CH56" t="e">
        <f>AND(Birds!BZ25,"AAAAADbL91U=")</f>
        <v>#VALUE!</v>
      </c>
      <c r="CI56" t="e">
        <f>AND(Birds!CA25,"AAAAADbL91Y=")</f>
        <v>#VALUE!</v>
      </c>
      <c r="CJ56" t="e">
        <f>AND(Birds!CB25,"AAAAADbL91c=")</f>
        <v>#VALUE!</v>
      </c>
      <c r="CK56" t="e">
        <f>AND(Birds!CC25,"AAAAADbL91g=")</f>
        <v>#VALUE!</v>
      </c>
      <c r="CL56" t="e">
        <f>AND(Birds!CD25,"AAAAADbL91k=")</f>
        <v>#VALUE!</v>
      </c>
      <c r="CM56" t="e">
        <f>AND(Birds!CE25,"AAAAADbL91o=")</f>
        <v>#VALUE!</v>
      </c>
      <c r="CN56" t="e">
        <f>AND(Birds!CF25,"AAAAADbL91s=")</f>
        <v>#VALUE!</v>
      </c>
      <c r="CO56" t="e">
        <f>AND(Birds!CG25,"AAAAADbL91w=")</f>
        <v>#VALUE!</v>
      </c>
      <c r="CP56" t="e">
        <f>AND(Birds!CH25,"AAAAADbL910=")</f>
        <v>#VALUE!</v>
      </c>
      <c r="CQ56" t="e">
        <f>AND(Birds!CI25,"AAAAADbL914=")</f>
        <v>#VALUE!</v>
      </c>
      <c r="CR56" t="e">
        <f>AND(Birds!CJ25,"AAAAADbL918=")</f>
        <v>#VALUE!</v>
      </c>
      <c r="CS56" t="e">
        <f>AND(Birds!CK25,"AAAAADbL92A=")</f>
        <v>#VALUE!</v>
      </c>
      <c r="CT56" t="e">
        <f>AND(Birds!CL25,"AAAAADbL92E=")</f>
        <v>#VALUE!</v>
      </c>
      <c r="CU56" t="e">
        <f>AND(Birds!CM25,"AAAAADbL92I=")</f>
        <v>#VALUE!</v>
      </c>
      <c r="CV56" t="e">
        <f>AND(Birds!CN25,"AAAAADbL92M=")</f>
        <v>#VALUE!</v>
      </c>
      <c r="CW56" t="e">
        <f>AND(Birds!CO25,"AAAAADbL92Q=")</f>
        <v>#VALUE!</v>
      </c>
      <c r="CX56" t="e">
        <f>AND(Birds!CP25,"AAAAADbL92U=")</f>
        <v>#VALUE!</v>
      </c>
      <c r="CY56" t="e">
        <f>AND(Birds!CQ25,"AAAAADbL92Y=")</f>
        <v>#VALUE!</v>
      </c>
      <c r="CZ56" t="e">
        <f>AND(Birds!CR25,"AAAAADbL92c=")</f>
        <v>#VALUE!</v>
      </c>
      <c r="DA56" t="e">
        <f>AND(Birds!CS25,"AAAAADbL92g=")</f>
        <v>#VALUE!</v>
      </c>
      <c r="DB56" t="e">
        <f>AND(Birds!CT25,"AAAAADbL92k=")</f>
        <v>#VALUE!</v>
      </c>
      <c r="DC56" t="e">
        <f>AND(Birds!CU25,"AAAAADbL92o=")</f>
        <v>#VALUE!</v>
      </c>
      <c r="DD56" t="e">
        <f>AND(Birds!CV25,"AAAAADbL92s=")</f>
        <v>#VALUE!</v>
      </c>
      <c r="DE56" t="e">
        <f>AND(Birds!CW25,"AAAAADbL92w=")</f>
        <v>#VALUE!</v>
      </c>
      <c r="DF56" t="e">
        <f>AND(Birds!CX25,"AAAAADbL920=")</f>
        <v>#VALUE!</v>
      </c>
      <c r="DG56" t="e">
        <f>AND(Birds!CY25,"AAAAADbL924=")</f>
        <v>#VALUE!</v>
      </c>
      <c r="DH56" t="e">
        <f>AND(Birds!CZ25,"AAAAADbL928=")</f>
        <v>#VALUE!</v>
      </c>
      <c r="DI56" t="e">
        <f>AND(Birds!DA25,"AAAAADbL93A=")</f>
        <v>#VALUE!</v>
      </c>
      <c r="DJ56" t="e">
        <f>AND(Birds!DB25,"AAAAADbL93E=")</f>
        <v>#VALUE!</v>
      </c>
      <c r="DK56" t="e">
        <f>AND(Birds!DC25,"AAAAADbL93I=")</f>
        <v>#VALUE!</v>
      </c>
      <c r="DL56" t="e">
        <f>AND(Birds!DD25,"AAAAADbL93M=")</f>
        <v>#VALUE!</v>
      </c>
      <c r="DM56" t="e">
        <f>AND(Birds!DE25,"AAAAADbL93Q=")</f>
        <v>#VALUE!</v>
      </c>
      <c r="DN56" t="e">
        <f>AND(Birds!DF25,"AAAAADbL93U=")</f>
        <v>#VALUE!</v>
      </c>
      <c r="DO56" t="e">
        <f>AND(Birds!DG25,"AAAAADbL93Y=")</f>
        <v>#VALUE!</v>
      </c>
      <c r="DP56" t="e">
        <f>AND(Birds!DH25,"AAAAADbL93c=")</f>
        <v>#VALUE!</v>
      </c>
      <c r="DQ56" t="e">
        <f>AND(Birds!DI25,"AAAAADbL93g=")</f>
        <v>#VALUE!</v>
      </c>
      <c r="DR56" t="e">
        <f>AND(Birds!DJ25,"AAAAADbL93k=")</f>
        <v>#VALUE!</v>
      </c>
      <c r="DS56" t="e">
        <f>AND(Birds!DK25,"AAAAADbL93o=")</f>
        <v>#VALUE!</v>
      </c>
      <c r="DT56" t="e">
        <f>AND(Birds!DL25,"AAAAADbL93s=")</f>
        <v>#VALUE!</v>
      </c>
      <c r="DU56" t="e">
        <f>AND(Birds!DM25,"AAAAADbL93w=")</f>
        <v>#VALUE!</v>
      </c>
      <c r="DV56" t="e">
        <f>AND(Birds!DN25,"AAAAADbL930=")</f>
        <v>#VALUE!</v>
      </c>
      <c r="DW56" t="e">
        <f>AND(Birds!DO25,"AAAAADbL934=")</f>
        <v>#VALUE!</v>
      </c>
      <c r="DX56" t="e">
        <f>AND(Birds!DP25,"AAAAADbL938=")</f>
        <v>#VALUE!</v>
      </c>
      <c r="DY56" t="e">
        <f>AND(Birds!DQ25,"AAAAADbL94A=")</f>
        <v>#VALUE!</v>
      </c>
      <c r="DZ56" t="e">
        <f>AND(Birds!DR25,"AAAAADbL94E=")</f>
        <v>#VALUE!</v>
      </c>
      <c r="EA56" t="e">
        <f>AND(Birds!DS25,"AAAAADbL94I=")</f>
        <v>#VALUE!</v>
      </c>
      <c r="EB56" t="e">
        <f>AND(Birds!DT25,"AAAAADbL94M=")</f>
        <v>#VALUE!</v>
      </c>
      <c r="EC56" t="e">
        <f>AND(Birds!DU25,"AAAAADbL94Q=")</f>
        <v>#VALUE!</v>
      </c>
      <c r="ED56" t="e">
        <f>AND(Birds!DV25,"AAAAADbL94U=")</f>
        <v>#VALUE!</v>
      </c>
      <c r="EE56" t="e">
        <f>AND(Birds!DW25,"AAAAADbL94Y=")</f>
        <v>#VALUE!</v>
      </c>
      <c r="EF56" t="e">
        <f>AND(Birds!DX25,"AAAAADbL94c=")</f>
        <v>#VALUE!</v>
      </c>
      <c r="EG56" t="e">
        <f>AND(Birds!DY25,"AAAAADbL94g=")</f>
        <v>#VALUE!</v>
      </c>
      <c r="EH56" t="e">
        <f>AND(Birds!DZ25,"AAAAADbL94k=")</f>
        <v>#VALUE!</v>
      </c>
      <c r="EI56" t="e">
        <f>AND(Birds!EA25,"AAAAADbL94o=")</f>
        <v>#VALUE!</v>
      </c>
      <c r="EJ56" t="e">
        <f>AND(Birds!EB25,"AAAAADbL94s=")</f>
        <v>#VALUE!</v>
      </c>
      <c r="EK56" t="e">
        <f>AND(Birds!EC25,"AAAAADbL94w=")</f>
        <v>#VALUE!</v>
      </c>
      <c r="EL56" t="e">
        <f>AND(Birds!ED25,"AAAAADbL940=")</f>
        <v>#VALUE!</v>
      </c>
      <c r="EM56" t="e">
        <f>AND(Birds!EE25,"AAAAADbL944=")</f>
        <v>#VALUE!</v>
      </c>
      <c r="EN56" t="e">
        <f>AND(Birds!EF25,"AAAAADbL948=")</f>
        <v>#VALUE!</v>
      </c>
      <c r="EO56" t="e">
        <f>AND(Birds!EG25,"AAAAADbL95A=")</f>
        <v>#VALUE!</v>
      </c>
      <c r="EP56" t="e">
        <f>AND(Birds!EH25,"AAAAADbL95E=")</f>
        <v>#VALUE!</v>
      </c>
      <c r="EQ56" t="e">
        <f>AND(Birds!EI25,"AAAAADbL95I=")</f>
        <v>#VALUE!</v>
      </c>
      <c r="ER56" t="e">
        <f>AND(Birds!EJ25,"AAAAADbL95M=")</f>
        <v>#VALUE!</v>
      </c>
      <c r="ES56" t="e">
        <f>AND(Birds!EK25,"AAAAADbL95Q=")</f>
        <v>#VALUE!</v>
      </c>
      <c r="ET56" t="e">
        <f>AND(Birds!EL25,"AAAAADbL95U=")</f>
        <v>#VALUE!</v>
      </c>
      <c r="EU56" t="e">
        <f>AND(Birds!EM25,"AAAAADbL95Y=")</f>
        <v>#VALUE!</v>
      </c>
      <c r="EV56" t="e">
        <f>AND(Birds!EN25,"AAAAADbL95c=")</f>
        <v>#VALUE!</v>
      </c>
      <c r="EW56" t="e">
        <f>AND(Birds!EO25,"AAAAADbL95g=")</f>
        <v>#VALUE!</v>
      </c>
      <c r="EX56" t="e">
        <f>AND(Birds!EP25,"AAAAADbL95k=")</f>
        <v>#VALUE!</v>
      </c>
      <c r="EY56" t="e">
        <f>AND(Birds!EQ25,"AAAAADbL95o=")</f>
        <v>#VALUE!</v>
      </c>
      <c r="EZ56" t="e">
        <f>AND(Birds!ER25,"AAAAADbL95s=")</f>
        <v>#VALUE!</v>
      </c>
      <c r="FA56" t="e">
        <f>AND(Birds!ES25,"AAAAADbL95w=")</f>
        <v>#VALUE!</v>
      </c>
      <c r="FB56" t="e">
        <f>AND(Birds!ET25,"AAAAADbL950=")</f>
        <v>#VALUE!</v>
      </c>
      <c r="FC56" t="e">
        <f>AND(Birds!EU25,"AAAAADbL954=")</f>
        <v>#VALUE!</v>
      </c>
      <c r="FD56" t="e">
        <f>AND(Birds!EV25,"AAAAADbL958=")</f>
        <v>#VALUE!</v>
      </c>
      <c r="FE56" t="e">
        <f>AND(Birds!EW25,"AAAAADbL96A=")</f>
        <v>#VALUE!</v>
      </c>
      <c r="FF56" t="e">
        <f>AND(Birds!EX25,"AAAAADbL96E=")</f>
        <v>#VALUE!</v>
      </c>
      <c r="FG56" t="e">
        <f>AND(Birds!EY25,"AAAAADbL96I=")</f>
        <v>#VALUE!</v>
      </c>
      <c r="FH56" t="e">
        <f>AND(Birds!EZ25,"AAAAADbL96M=")</f>
        <v>#VALUE!</v>
      </c>
      <c r="FI56" t="e">
        <f>AND(Birds!FA25,"AAAAADbL96Q=")</f>
        <v>#VALUE!</v>
      </c>
      <c r="FJ56" t="e">
        <f>AND(Birds!FB25,"AAAAADbL96U=")</f>
        <v>#VALUE!</v>
      </c>
      <c r="FK56" t="e">
        <f>AND(Birds!FC25,"AAAAADbL96Y=")</f>
        <v>#VALUE!</v>
      </c>
      <c r="FL56" t="e">
        <f>AND(Birds!FD25,"AAAAADbL96c=")</f>
        <v>#VALUE!</v>
      </c>
      <c r="FM56" t="e">
        <f>AND(Birds!FE25,"AAAAADbL96g=")</f>
        <v>#VALUE!</v>
      </c>
      <c r="FN56" t="e">
        <f>AND(Birds!FF25,"AAAAADbL96k=")</f>
        <v>#VALUE!</v>
      </c>
      <c r="FO56" t="e">
        <f>AND(Birds!FG25,"AAAAADbL96o=")</f>
        <v>#VALUE!</v>
      </c>
      <c r="FP56" t="e">
        <f>AND(Birds!FH25,"AAAAADbL96s=")</f>
        <v>#VALUE!</v>
      </c>
      <c r="FQ56" t="e">
        <f>AND(Birds!FI25,"AAAAADbL96w=")</f>
        <v>#VALUE!</v>
      </c>
      <c r="FR56" t="e">
        <f>AND(Birds!FJ25,"AAAAADbL960=")</f>
        <v>#VALUE!</v>
      </c>
      <c r="FS56" t="e">
        <f>AND(Birds!FK25,"AAAAADbL964=")</f>
        <v>#VALUE!</v>
      </c>
      <c r="FT56" t="e">
        <f>AND(Birds!FL25,"AAAAADbL968=")</f>
        <v>#VALUE!</v>
      </c>
      <c r="FU56" t="e">
        <f>AND(Birds!FM25,"AAAAADbL97A=")</f>
        <v>#VALUE!</v>
      </c>
      <c r="FV56" t="e">
        <f>AND(Birds!FN25,"AAAAADbL97E=")</f>
        <v>#VALUE!</v>
      </c>
      <c r="FW56" t="e">
        <f>AND(Birds!FO25,"AAAAADbL97I=")</f>
        <v>#VALUE!</v>
      </c>
      <c r="FX56" t="e">
        <f>AND(Birds!FP25,"AAAAADbL97M=")</f>
        <v>#VALUE!</v>
      </c>
      <c r="FY56" t="e">
        <f>AND(Birds!FQ25,"AAAAADbL97Q=")</f>
        <v>#VALUE!</v>
      </c>
      <c r="FZ56" t="e">
        <f>AND(Birds!FR25,"AAAAADbL97U=")</f>
        <v>#VALUE!</v>
      </c>
      <c r="GA56" t="e">
        <f>AND(Birds!FS25,"AAAAADbL97Y=")</f>
        <v>#VALUE!</v>
      </c>
      <c r="GB56" t="e">
        <f>AND(Birds!FT25,"AAAAADbL97c=")</f>
        <v>#VALUE!</v>
      </c>
      <c r="GC56" t="e">
        <f>AND(Birds!FU25,"AAAAADbL97g=")</f>
        <v>#VALUE!</v>
      </c>
      <c r="GD56" t="e">
        <f>AND(Birds!FV25,"AAAAADbL97k=")</f>
        <v>#VALUE!</v>
      </c>
      <c r="GE56" t="e">
        <f>AND(Birds!FW25,"AAAAADbL97o=")</f>
        <v>#VALUE!</v>
      </c>
      <c r="GF56" t="e">
        <f>AND(Birds!FX25,"AAAAADbL97s=")</f>
        <v>#VALUE!</v>
      </c>
      <c r="GG56" t="e">
        <f>AND(Birds!FY25,"AAAAADbL97w=")</f>
        <v>#VALUE!</v>
      </c>
      <c r="GH56" t="e">
        <f>AND(Birds!FZ25,"AAAAADbL970=")</f>
        <v>#VALUE!</v>
      </c>
      <c r="GI56" t="e">
        <f>AND(Birds!GA25,"AAAAADbL974=")</f>
        <v>#VALUE!</v>
      </c>
      <c r="GJ56" t="e">
        <f>AND(Birds!GB25,"AAAAADbL978=")</f>
        <v>#VALUE!</v>
      </c>
      <c r="GK56" t="e">
        <f>AND(Birds!GC25,"AAAAADbL98A=")</f>
        <v>#VALUE!</v>
      </c>
      <c r="GL56" t="e">
        <f>AND(Birds!GD25,"AAAAADbL98E=")</f>
        <v>#VALUE!</v>
      </c>
      <c r="GM56" t="e">
        <f>AND(Birds!GE25,"AAAAADbL98I=")</f>
        <v>#VALUE!</v>
      </c>
      <c r="GN56" t="e">
        <f>AND(Birds!GF25,"AAAAADbL98M=")</f>
        <v>#VALUE!</v>
      </c>
      <c r="GO56" t="e">
        <f>AND(Birds!GG25,"AAAAADbL98Q=")</f>
        <v>#VALUE!</v>
      </c>
      <c r="GP56" t="e">
        <f>AND(Birds!GH25,"AAAAADbL98U=")</f>
        <v>#VALUE!</v>
      </c>
      <c r="GQ56" t="e">
        <f>AND(Birds!GI25,"AAAAADbL98Y=")</f>
        <v>#VALUE!</v>
      </c>
      <c r="GR56" t="e">
        <f>AND(Birds!GJ25,"AAAAADbL98c=")</f>
        <v>#VALUE!</v>
      </c>
      <c r="GS56" t="e">
        <f>AND(Birds!GK25,"AAAAADbL98g=")</f>
        <v>#VALUE!</v>
      </c>
      <c r="GT56" t="e">
        <f>AND(Birds!GL25,"AAAAADbL98k=")</f>
        <v>#VALUE!</v>
      </c>
      <c r="GU56" t="e">
        <f>AND(Birds!GM25,"AAAAADbL98o=")</f>
        <v>#VALUE!</v>
      </c>
      <c r="GV56">
        <f>IF(Birds!26:26,"AAAAADbL98s=",0)</f>
        <v>0</v>
      </c>
      <c r="GW56" t="e">
        <f>AND(Birds!A26,"AAAAADbL98w=")</f>
        <v>#VALUE!</v>
      </c>
      <c r="GX56" t="e">
        <f>AND(Birds!B26,"AAAAADbL980=")</f>
        <v>#VALUE!</v>
      </c>
      <c r="GY56" t="e">
        <f>AND(Birds!C26,"AAAAADbL984=")</f>
        <v>#VALUE!</v>
      </c>
      <c r="GZ56" t="e">
        <f>AND(Birds!D26,"AAAAADbL988=")</f>
        <v>#VALUE!</v>
      </c>
      <c r="HA56" t="e">
        <f>AND(Birds!E26,"AAAAADbL99A=")</f>
        <v>#VALUE!</v>
      </c>
      <c r="HB56" t="e">
        <f>AND(Birds!F26,"AAAAADbL99E=")</f>
        <v>#VALUE!</v>
      </c>
      <c r="HC56" t="e">
        <f>AND(Birds!G26,"AAAAADbL99I=")</f>
        <v>#VALUE!</v>
      </c>
      <c r="HD56" t="e">
        <f>AND(Birds!H26,"AAAAADbL99M=")</f>
        <v>#VALUE!</v>
      </c>
      <c r="HE56" t="e">
        <f>AND(Birds!I26,"AAAAADbL99Q=")</f>
        <v>#VALUE!</v>
      </c>
      <c r="HF56" t="e">
        <f>AND(Birds!J26,"AAAAADbL99U=")</f>
        <v>#VALUE!</v>
      </c>
      <c r="HG56" t="e">
        <f>AND(Birds!K26,"AAAAADbL99Y=")</f>
        <v>#VALUE!</v>
      </c>
      <c r="HH56" t="e">
        <f>AND(Birds!L26,"AAAAADbL99c=")</f>
        <v>#VALUE!</v>
      </c>
      <c r="HI56" t="e">
        <f>AND(Birds!M26,"AAAAADbL99g=")</f>
        <v>#VALUE!</v>
      </c>
      <c r="HJ56" t="e">
        <f>AND(Birds!N26,"AAAAADbL99k=")</f>
        <v>#VALUE!</v>
      </c>
      <c r="HK56" t="e">
        <f>AND(Birds!O26,"AAAAADbL99o=")</f>
        <v>#VALUE!</v>
      </c>
      <c r="HL56" t="e">
        <f>AND(Birds!P26,"AAAAADbL99s=")</f>
        <v>#VALUE!</v>
      </c>
      <c r="HM56" t="e">
        <f>AND(Birds!Q26,"AAAAADbL99w=")</f>
        <v>#VALUE!</v>
      </c>
      <c r="HN56" t="e">
        <f>AND(Birds!R26,"AAAAADbL990=")</f>
        <v>#VALUE!</v>
      </c>
      <c r="HO56" t="e">
        <f>AND(Birds!S26,"AAAAADbL994=")</f>
        <v>#VALUE!</v>
      </c>
      <c r="HP56" t="e">
        <f>AND(Birds!T26,"AAAAADbL998=")</f>
        <v>#VALUE!</v>
      </c>
      <c r="HQ56" t="e">
        <f>AND(Birds!U26,"AAAAADbL9+A=")</f>
        <v>#VALUE!</v>
      </c>
      <c r="HR56" t="e">
        <f>AND(Birds!V26,"AAAAADbL9+E=")</f>
        <v>#VALUE!</v>
      </c>
      <c r="HS56" t="e">
        <f>AND(Birds!W26,"AAAAADbL9+I=")</f>
        <v>#VALUE!</v>
      </c>
      <c r="HT56" t="e">
        <f>AND(Birds!X26,"AAAAADbL9+M=")</f>
        <v>#VALUE!</v>
      </c>
      <c r="HU56" t="e">
        <f>AND(Birds!Y26,"AAAAADbL9+Q=")</f>
        <v>#VALUE!</v>
      </c>
      <c r="HV56" t="e">
        <f>AND(Birds!Z26,"AAAAADbL9+U=")</f>
        <v>#VALUE!</v>
      </c>
      <c r="HW56" t="e">
        <f>AND(Birds!AA26,"AAAAADbL9+Y=")</f>
        <v>#VALUE!</v>
      </c>
      <c r="HX56" t="e">
        <f>AND(Birds!AB26,"AAAAADbL9+c=")</f>
        <v>#VALUE!</v>
      </c>
      <c r="HY56" t="e">
        <f>AND(Birds!AC26,"AAAAADbL9+g=")</f>
        <v>#VALUE!</v>
      </c>
      <c r="HZ56" t="e">
        <f>AND(Birds!AD26,"AAAAADbL9+k=")</f>
        <v>#VALUE!</v>
      </c>
      <c r="IA56" t="e">
        <f>AND(Birds!AE26,"AAAAADbL9+o=")</f>
        <v>#VALUE!</v>
      </c>
      <c r="IB56" t="e">
        <f>AND(Birds!AF26,"AAAAADbL9+s=")</f>
        <v>#VALUE!</v>
      </c>
      <c r="IC56" t="e">
        <f>AND(Birds!AG26,"AAAAADbL9+w=")</f>
        <v>#VALUE!</v>
      </c>
      <c r="ID56" t="e">
        <f>AND(Birds!AH26,"AAAAADbL9+0=")</f>
        <v>#VALUE!</v>
      </c>
      <c r="IE56" t="e">
        <f>AND(Birds!AI26,"AAAAADbL9+4=")</f>
        <v>#VALUE!</v>
      </c>
      <c r="IF56" t="e">
        <f>AND(Birds!AJ26,"AAAAADbL9+8=")</f>
        <v>#VALUE!</v>
      </c>
      <c r="IG56" t="e">
        <f>AND(Birds!AK26,"AAAAADbL9/A=")</f>
        <v>#VALUE!</v>
      </c>
      <c r="IH56" t="e">
        <f>AND(Birds!AL26,"AAAAADbL9/E=")</f>
        <v>#VALUE!</v>
      </c>
      <c r="II56" t="e">
        <f>AND(Birds!AM26,"AAAAADbL9/I=")</f>
        <v>#VALUE!</v>
      </c>
      <c r="IJ56" t="e">
        <f>AND(Birds!AN26,"AAAAADbL9/M=")</f>
        <v>#VALUE!</v>
      </c>
      <c r="IK56" t="e">
        <f>AND(Birds!AO26,"AAAAADbL9/Q=")</f>
        <v>#VALUE!</v>
      </c>
      <c r="IL56" t="e">
        <f>AND(Birds!AP26,"AAAAADbL9/U=")</f>
        <v>#VALUE!</v>
      </c>
      <c r="IM56" t="e">
        <f>AND(Birds!AQ26,"AAAAADbL9/Y=")</f>
        <v>#VALUE!</v>
      </c>
      <c r="IN56" t="e">
        <f>AND(Birds!AR26,"AAAAADbL9/c=")</f>
        <v>#VALUE!</v>
      </c>
      <c r="IO56" t="e">
        <f>AND(Birds!AS26,"AAAAADbL9/g=")</f>
        <v>#VALUE!</v>
      </c>
      <c r="IP56" t="e">
        <f>AND(Birds!AT26,"AAAAADbL9/k=")</f>
        <v>#VALUE!</v>
      </c>
      <c r="IQ56" t="e">
        <f>AND(Birds!AU26,"AAAAADbL9/o=")</f>
        <v>#VALUE!</v>
      </c>
      <c r="IR56" t="e">
        <f>AND(Birds!AV26,"AAAAADbL9/s=")</f>
        <v>#VALUE!</v>
      </c>
      <c r="IS56" t="e">
        <f>AND(Birds!AW26,"AAAAADbL9/w=")</f>
        <v>#VALUE!</v>
      </c>
      <c r="IT56" t="e">
        <f>AND(Birds!AX26,"AAAAADbL9/0=")</f>
        <v>#VALUE!</v>
      </c>
      <c r="IU56" t="e">
        <f>AND(Birds!AY26,"AAAAADbL9/4=")</f>
        <v>#VALUE!</v>
      </c>
      <c r="IV56" t="e">
        <f>AND(Birds!AZ26,"AAAAADbL9/8=")</f>
        <v>#VALUE!</v>
      </c>
    </row>
    <row r="57" spans="1:256">
      <c r="A57" t="e">
        <f>AND(Birds!BA26,"AAAAAG+u3AA=")</f>
        <v>#VALUE!</v>
      </c>
      <c r="B57" t="e">
        <f>AND(Birds!BB26,"AAAAAG+u3AE=")</f>
        <v>#VALUE!</v>
      </c>
      <c r="C57" t="e">
        <f>AND(Birds!BC26,"AAAAAG+u3AI=")</f>
        <v>#VALUE!</v>
      </c>
      <c r="D57" t="e">
        <f>AND(Birds!BD26,"AAAAAG+u3AM=")</f>
        <v>#VALUE!</v>
      </c>
      <c r="E57" t="e">
        <f>AND(Birds!BE26,"AAAAAG+u3AQ=")</f>
        <v>#VALUE!</v>
      </c>
      <c r="F57" t="e">
        <f>AND(Birds!BF26,"AAAAAG+u3AU=")</f>
        <v>#VALUE!</v>
      </c>
      <c r="G57" t="e">
        <f>AND(Birds!BG26,"AAAAAG+u3AY=")</f>
        <v>#VALUE!</v>
      </c>
      <c r="H57" t="e">
        <f>AND(Birds!BH26,"AAAAAG+u3Ac=")</f>
        <v>#VALUE!</v>
      </c>
      <c r="I57" t="e">
        <f>AND(Birds!BI26,"AAAAAG+u3Ag=")</f>
        <v>#VALUE!</v>
      </c>
      <c r="J57" t="e">
        <f>AND(Birds!BJ26,"AAAAAG+u3Ak=")</f>
        <v>#VALUE!</v>
      </c>
      <c r="K57" t="e">
        <f>AND(Birds!BK26,"AAAAAG+u3Ao=")</f>
        <v>#VALUE!</v>
      </c>
      <c r="L57" t="e">
        <f>AND(Birds!BL26,"AAAAAG+u3As=")</f>
        <v>#VALUE!</v>
      </c>
      <c r="M57" t="e">
        <f>AND(Birds!BM26,"AAAAAG+u3Aw=")</f>
        <v>#VALUE!</v>
      </c>
      <c r="N57" t="e">
        <f>AND(Birds!BN26,"AAAAAG+u3A0=")</f>
        <v>#VALUE!</v>
      </c>
      <c r="O57" t="e">
        <f>AND(Birds!BO26,"AAAAAG+u3A4=")</f>
        <v>#VALUE!</v>
      </c>
      <c r="P57" t="e">
        <f>AND(Birds!BP26,"AAAAAG+u3A8=")</f>
        <v>#VALUE!</v>
      </c>
      <c r="Q57" t="e">
        <f>AND(Birds!BQ26,"AAAAAG+u3BA=")</f>
        <v>#VALUE!</v>
      </c>
      <c r="R57" t="e">
        <f>AND(Birds!BR26,"AAAAAG+u3BE=")</f>
        <v>#VALUE!</v>
      </c>
      <c r="S57" t="e">
        <f>AND(Birds!BS26,"AAAAAG+u3BI=")</f>
        <v>#VALUE!</v>
      </c>
      <c r="T57" t="e">
        <f>AND(Birds!BT26,"AAAAAG+u3BM=")</f>
        <v>#VALUE!</v>
      </c>
      <c r="U57" t="e">
        <f>AND(Birds!BU26,"AAAAAG+u3BQ=")</f>
        <v>#VALUE!</v>
      </c>
      <c r="V57" t="e">
        <f>AND(Birds!BV26,"AAAAAG+u3BU=")</f>
        <v>#VALUE!</v>
      </c>
      <c r="W57" t="e">
        <f>AND(Birds!BW26,"AAAAAG+u3BY=")</f>
        <v>#VALUE!</v>
      </c>
      <c r="X57" t="e">
        <f>AND(Birds!BX26,"AAAAAG+u3Bc=")</f>
        <v>#VALUE!</v>
      </c>
      <c r="Y57" t="e">
        <f>AND(Birds!BY26,"AAAAAG+u3Bg=")</f>
        <v>#VALUE!</v>
      </c>
      <c r="Z57" t="e">
        <f>AND(Birds!BZ26,"AAAAAG+u3Bk=")</f>
        <v>#VALUE!</v>
      </c>
      <c r="AA57" t="e">
        <f>AND(Birds!CA26,"AAAAAG+u3Bo=")</f>
        <v>#VALUE!</v>
      </c>
      <c r="AB57" t="e">
        <f>AND(Birds!CB26,"AAAAAG+u3Bs=")</f>
        <v>#VALUE!</v>
      </c>
      <c r="AC57" t="e">
        <f>AND(Birds!CC26,"AAAAAG+u3Bw=")</f>
        <v>#VALUE!</v>
      </c>
      <c r="AD57" t="e">
        <f>AND(Birds!CD26,"AAAAAG+u3B0=")</f>
        <v>#VALUE!</v>
      </c>
      <c r="AE57" t="e">
        <f>AND(Birds!CE26,"AAAAAG+u3B4=")</f>
        <v>#VALUE!</v>
      </c>
      <c r="AF57" t="e">
        <f>AND(Birds!CF26,"AAAAAG+u3B8=")</f>
        <v>#VALUE!</v>
      </c>
      <c r="AG57" t="e">
        <f>AND(Birds!CG26,"AAAAAG+u3CA=")</f>
        <v>#VALUE!</v>
      </c>
      <c r="AH57" t="e">
        <f>AND(Birds!CH26,"AAAAAG+u3CE=")</f>
        <v>#VALUE!</v>
      </c>
      <c r="AI57" t="e">
        <f>AND(Birds!CI26,"AAAAAG+u3CI=")</f>
        <v>#VALUE!</v>
      </c>
      <c r="AJ57" t="e">
        <f>AND(Birds!CJ26,"AAAAAG+u3CM=")</f>
        <v>#VALUE!</v>
      </c>
      <c r="AK57" t="e">
        <f>AND(Birds!CK26,"AAAAAG+u3CQ=")</f>
        <v>#VALUE!</v>
      </c>
      <c r="AL57" t="e">
        <f>AND(Birds!CL26,"AAAAAG+u3CU=")</f>
        <v>#VALUE!</v>
      </c>
      <c r="AM57" t="e">
        <f>AND(Birds!CM26,"AAAAAG+u3CY=")</f>
        <v>#VALUE!</v>
      </c>
      <c r="AN57" t="e">
        <f>AND(Birds!CN26,"AAAAAG+u3Cc=")</f>
        <v>#VALUE!</v>
      </c>
      <c r="AO57" t="e">
        <f>AND(Birds!CO26,"AAAAAG+u3Cg=")</f>
        <v>#VALUE!</v>
      </c>
      <c r="AP57" t="e">
        <f>AND(Birds!CP26,"AAAAAG+u3Ck=")</f>
        <v>#VALUE!</v>
      </c>
      <c r="AQ57" t="e">
        <f>AND(Birds!CQ26,"AAAAAG+u3Co=")</f>
        <v>#VALUE!</v>
      </c>
      <c r="AR57" t="e">
        <f>AND(Birds!CR26,"AAAAAG+u3Cs=")</f>
        <v>#VALUE!</v>
      </c>
      <c r="AS57" t="e">
        <f>AND(Birds!CS26,"AAAAAG+u3Cw=")</f>
        <v>#VALUE!</v>
      </c>
      <c r="AT57" t="e">
        <f>AND(Birds!CT26,"AAAAAG+u3C0=")</f>
        <v>#VALUE!</v>
      </c>
      <c r="AU57" t="e">
        <f>AND(Birds!CU26,"AAAAAG+u3C4=")</f>
        <v>#VALUE!</v>
      </c>
      <c r="AV57" t="e">
        <f>AND(Birds!CV26,"AAAAAG+u3C8=")</f>
        <v>#VALUE!</v>
      </c>
      <c r="AW57" t="e">
        <f>AND(Birds!CW26,"AAAAAG+u3DA=")</f>
        <v>#VALUE!</v>
      </c>
      <c r="AX57" t="e">
        <f>AND(Birds!CX26,"AAAAAG+u3DE=")</f>
        <v>#VALUE!</v>
      </c>
      <c r="AY57" t="e">
        <f>AND(Birds!CY26,"AAAAAG+u3DI=")</f>
        <v>#VALUE!</v>
      </c>
      <c r="AZ57" t="e">
        <f>AND(Birds!CZ26,"AAAAAG+u3DM=")</f>
        <v>#VALUE!</v>
      </c>
      <c r="BA57" t="e">
        <f>AND(Birds!DA26,"AAAAAG+u3DQ=")</f>
        <v>#VALUE!</v>
      </c>
      <c r="BB57" t="e">
        <f>AND(Birds!DB26,"AAAAAG+u3DU=")</f>
        <v>#VALUE!</v>
      </c>
      <c r="BC57" t="e">
        <f>AND(Birds!DC26,"AAAAAG+u3DY=")</f>
        <v>#VALUE!</v>
      </c>
      <c r="BD57" t="e">
        <f>AND(Birds!DD26,"AAAAAG+u3Dc=")</f>
        <v>#VALUE!</v>
      </c>
      <c r="BE57" t="e">
        <f>AND(Birds!DE26,"AAAAAG+u3Dg=")</f>
        <v>#VALUE!</v>
      </c>
      <c r="BF57" t="e">
        <f>AND(Birds!DF26,"AAAAAG+u3Dk=")</f>
        <v>#VALUE!</v>
      </c>
      <c r="BG57" t="e">
        <f>AND(Birds!DG26,"AAAAAG+u3Do=")</f>
        <v>#VALUE!</v>
      </c>
      <c r="BH57" t="e">
        <f>AND(Birds!DH26,"AAAAAG+u3Ds=")</f>
        <v>#VALUE!</v>
      </c>
      <c r="BI57" t="e">
        <f>AND(Birds!DI26,"AAAAAG+u3Dw=")</f>
        <v>#VALUE!</v>
      </c>
      <c r="BJ57" t="e">
        <f>AND(Birds!DJ26,"AAAAAG+u3D0=")</f>
        <v>#VALUE!</v>
      </c>
      <c r="BK57" t="e">
        <f>AND(Birds!DK26,"AAAAAG+u3D4=")</f>
        <v>#VALUE!</v>
      </c>
      <c r="BL57" t="e">
        <f>AND(Birds!DL26,"AAAAAG+u3D8=")</f>
        <v>#VALUE!</v>
      </c>
      <c r="BM57" t="e">
        <f>AND(Birds!DM26,"AAAAAG+u3EA=")</f>
        <v>#VALUE!</v>
      </c>
      <c r="BN57" t="e">
        <f>AND(Birds!DN26,"AAAAAG+u3EE=")</f>
        <v>#VALUE!</v>
      </c>
      <c r="BO57" t="e">
        <f>AND(Birds!DO26,"AAAAAG+u3EI=")</f>
        <v>#VALUE!</v>
      </c>
      <c r="BP57" t="e">
        <f>AND(Birds!DP26,"AAAAAG+u3EM=")</f>
        <v>#VALUE!</v>
      </c>
      <c r="BQ57" t="e">
        <f>AND(Birds!DQ26,"AAAAAG+u3EQ=")</f>
        <v>#VALUE!</v>
      </c>
      <c r="BR57" t="e">
        <f>AND(Birds!DR26,"AAAAAG+u3EU=")</f>
        <v>#VALUE!</v>
      </c>
      <c r="BS57" t="e">
        <f>AND(Birds!DS26,"AAAAAG+u3EY=")</f>
        <v>#VALUE!</v>
      </c>
      <c r="BT57" t="e">
        <f>AND(Birds!DT26,"AAAAAG+u3Ec=")</f>
        <v>#VALUE!</v>
      </c>
      <c r="BU57" t="e">
        <f>AND(Birds!DU26,"AAAAAG+u3Eg=")</f>
        <v>#VALUE!</v>
      </c>
      <c r="BV57" t="e">
        <f>AND(Birds!DV26,"AAAAAG+u3Ek=")</f>
        <v>#VALUE!</v>
      </c>
      <c r="BW57" t="e">
        <f>AND(Birds!DW26,"AAAAAG+u3Eo=")</f>
        <v>#VALUE!</v>
      </c>
      <c r="BX57" t="e">
        <f>AND(Birds!DX26,"AAAAAG+u3Es=")</f>
        <v>#VALUE!</v>
      </c>
      <c r="BY57" t="e">
        <f>AND(Birds!DY26,"AAAAAG+u3Ew=")</f>
        <v>#VALUE!</v>
      </c>
      <c r="BZ57" t="e">
        <f>AND(Birds!DZ26,"AAAAAG+u3E0=")</f>
        <v>#VALUE!</v>
      </c>
      <c r="CA57" t="e">
        <f>AND(Birds!EA26,"AAAAAG+u3E4=")</f>
        <v>#VALUE!</v>
      </c>
      <c r="CB57" t="e">
        <f>AND(Birds!EB26,"AAAAAG+u3E8=")</f>
        <v>#VALUE!</v>
      </c>
      <c r="CC57" t="e">
        <f>AND(Birds!EC26,"AAAAAG+u3FA=")</f>
        <v>#VALUE!</v>
      </c>
      <c r="CD57" t="e">
        <f>AND(Birds!ED26,"AAAAAG+u3FE=")</f>
        <v>#VALUE!</v>
      </c>
      <c r="CE57" t="e">
        <f>AND(Birds!EE26,"AAAAAG+u3FI=")</f>
        <v>#VALUE!</v>
      </c>
      <c r="CF57" t="e">
        <f>AND(Birds!EF26,"AAAAAG+u3FM=")</f>
        <v>#VALUE!</v>
      </c>
      <c r="CG57" t="e">
        <f>AND(Birds!EG26,"AAAAAG+u3FQ=")</f>
        <v>#VALUE!</v>
      </c>
      <c r="CH57" t="e">
        <f>AND(Birds!EH26,"AAAAAG+u3FU=")</f>
        <v>#VALUE!</v>
      </c>
      <c r="CI57" t="e">
        <f>AND(Birds!EI26,"AAAAAG+u3FY=")</f>
        <v>#VALUE!</v>
      </c>
      <c r="CJ57" t="e">
        <f>AND(Birds!EJ26,"AAAAAG+u3Fc=")</f>
        <v>#VALUE!</v>
      </c>
      <c r="CK57" t="e">
        <f>AND(Birds!EK26,"AAAAAG+u3Fg=")</f>
        <v>#VALUE!</v>
      </c>
      <c r="CL57" t="e">
        <f>AND(Birds!EL26,"AAAAAG+u3Fk=")</f>
        <v>#VALUE!</v>
      </c>
      <c r="CM57" t="e">
        <f>AND(Birds!EM26,"AAAAAG+u3Fo=")</f>
        <v>#VALUE!</v>
      </c>
      <c r="CN57" t="e">
        <f>AND(Birds!EN26,"AAAAAG+u3Fs=")</f>
        <v>#VALUE!</v>
      </c>
      <c r="CO57" t="e">
        <f>AND(Birds!EO26,"AAAAAG+u3Fw=")</f>
        <v>#VALUE!</v>
      </c>
      <c r="CP57" t="e">
        <f>AND(Birds!EP26,"AAAAAG+u3F0=")</f>
        <v>#VALUE!</v>
      </c>
      <c r="CQ57" t="e">
        <f>AND(Birds!EQ26,"AAAAAG+u3F4=")</f>
        <v>#VALUE!</v>
      </c>
      <c r="CR57" t="e">
        <f>AND(Birds!ER26,"AAAAAG+u3F8=")</f>
        <v>#VALUE!</v>
      </c>
      <c r="CS57" t="e">
        <f>AND(Birds!ES26,"AAAAAG+u3GA=")</f>
        <v>#VALUE!</v>
      </c>
      <c r="CT57" t="e">
        <f>AND(Birds!ET26,"AAAAAG+u3GE=")</f>
        <v>#VALUE!</v>
      </c>
      <c r="CU57" t="e">
        <f>AND(Birds!EU26,"AAAAAG+u3GI=")</f>
        <v>#VALUE!</v>
      </c>
      <c r="CV57" t="e">
        <f>AND(Birds!EV26,"AAAAAG+u3GM=")</f>
        <v>#VALUE!</v>
      </c>
      <c r="CW57" t="e">
        <f>AND(Birds!EW26,"AAAAAG+u3GQ=")</f>
        <v>#VALUE!</v>
      </c>
      <c r="CX57" t="e">
        <f>AND(Birds!EX26,"AAAAAG+u3GU=")</f>
        <v>#VALUE!</v>
      </c>
      <c r="CY57" t="e">
        <f>AND(Birds!EY26,"AAAAAG+u3GY=")</f>
        <v>#VALUE!</v>
      </c>
      <c r="CZ57" t="e">
        <f>AND(Birds!EZ26,"AAAAAG+u3Gc=")</f>
        <v>#VALUE!</v>
      </c>
      <c r="DA57" t="e">
        <f>AND(Birds!FA26,"AAAAAG+u3Gg=")</f>
        <v>#VALUE!</v>
      </c>
      <c r="DB57" t="e">
        <f>AND(Birds!FB26,"AAAAAG+u3Gk=")</f>
        <v>#VALUE!</v>
      </c>
      <c r="DC57" t="e">
        <f>AND(Birds!FC26,"AAAAAG+u3Go=")</f>
        <v>#VALUE!</v>
      </c>
      <c r="DD57" t="e">
        <f>AND(Birds!FD26,"AAAAAG+u3Gs=")</f>
        <v>#VALUE!</v>
      </c>
      <c r="DE57" t="e">
        <f>AND(Birds!FE26,"AAAAAG+u3Gw=")</f>
        <v>#VALUE!</v>
      </c>
      <c r="DF57" t="e">
        <f>AND(Birds!FF26,"AAAAAG+u3G0=")</f>
        <v>#VALUE!</v>
      </c>
      <c r="DG57" t="e">
        <f>AND(Birds!FG26,"AAAAAG+u3G4=")</f>
        <v>#VALUE!</v>
      </c>
      <c r="DH57" t="e">
        <f>AND(Birds!FH26,"AAAAAG+u3G8=")</f>
        <v>#VALUE!</v>
      </c>
      <c r="DI57" t="e">
        <f>AND(Birds!FI26,"AAAAAG+u3HA=")</f>
        <v>#VALUE!</v>
      </c>
      <c r="DJ57" t="e">
        <f>AND(Birds!FJ26,"AAAAAG+u3HE=")</f>
        <v>#VALUE!</v>
      </c>
      <c r="DK57" t="e">
        <f>AND(Birds!FK26,"AAAAAG+u3HI=")</f>
        <v>#VALUE!</v>
      </c>
      <c r="DL57" t="e">
        <f>AND(Birds!FL26,"AAAAAG+u3HM=")</f>
        <v>#VALUE!</v>
      </c>
      <c r="DM57" t="e">
        <f>AND(Birds!FM26,"AAAAAG+u3HQ=")</f>
        <v>#VALUE!</v>
      </c>
      <c r="DN57" t="e">
        <f>AND(Birds!FN26,"AAAAAG+u3HU=")</f>
        <v>#VALUE!</v>
      </c>
      <c r="DO57" t="e">
        <f>AND(Birds!FO26,"AAAAAG+u3HY=")</f>
        <v>#VALUE!</v>
      </c>
      <c r="DP57" t="e">
        <f>AND(Birds!FP26,"AAAAAG+u3Hc=")</f>
        <v>#VALUE!</v>
      </c>
      <c r="DQ57" t="e">
        <f>AND(Birds!FQ26,"AAAAAG+u3Hg=")</f>
        <v>#VALUE!</v>
      </c>
      <c r="DR57" t="e">
        <f>AND(Birds!FR26,"AAAAAG+u3Hk=")</f>
        <v>#VALUE!</v>
      </c>
      <c r="DS57" t="e">
        <f>AND(Birds!FS26,"AAAAAG+u3Ho=")</f>
        <v>#VALUE!</v>
      </c>
      <c r="DT57" t="e">
        <f>AND(Birds!FT26,"AAAAAG+u3Hs=")</f>
        <v>#VALUE!</v>
      </c>
      <c r="DU57" t="e">
        <f>AND(Birds!FU26,"AAAAAG+u3Hw=")</f>
        <v>#VALUE!</v>
      </c>
      <c r="DV57" t="e">
        <f>AND(Birds!FV26,"AAAAAG+u3H0=")</f>
        <v>#VALUE!</v>
      </c>
      <c r="DW57" t="e">
        <f>AND(Birds!FW26,"AAAAAG+u3H4=")</f>
        <v>#VALUE!</v>
      </c>
      <c r="DX57" t="e">
        <f>AND(Birds!FX26,"AAAAAG+u3H8=")</f>
        <v>#VALUE!</v>
      </c>
      <c r="DY57" t="e">
        <f>AND(Birds!FY26,"AAAAAG+u3IA=")</f>
        <v>#VALUE!</v>
      </c>
      <c r="DZ57" t="e">
        <f>AND(Birds!FZ26,"AAAAAG+u3IE=")</f>
        <v>#VALUE!</v>
      </c>
      <c r="EA57" t="e">
        <f>AND(Birds!GA26,"AAAAAG+u3II=")</f>
        <v>#VALUE!</v>
      </c>
      <c r="EB57" t="e">
        <f>AND(Birds!GB26,"AAAAAG+u3IM=")</f>
        <v>#VALUE!</v>
      </c>
      <c r="EC57" t="e">
        <f>AND(Birds!GC26,"AAAAAG+u3IQ=")</f>
        <v>#VALUE!</v>
      </c>
      <c r="ED57" t="e">
        <f>AND(Birds!GD26,"AAAAAG+u3IU=")</f>
        <v>#VALUE!</v>
      </c>
      <c r="EE57" t="e">
        <f>AND(Birds!GE26,"AAAAAG+u3IY=")</f>
        <v>#VALUE!</v>
      </c>
      <c r="EF57" t="e">
        <f>AND(Birds!GF26,"AAAAAG+u3Ic=")</f>
        <v>#VALUE!</v>
      </c>
      <c r="EG57" t="e">
        <f>AND(Birds!GG26,"AAAAAG+u3Ig=")</f>
        <v>#VALUE!</v>
      </c>
      <c r="EH57" t="e">
        <f>AND(Birds!GH26,"AAAAAG+u3Ik=")</f>
        <v>#VALUE!</v>
      </c>
      <c r="EI57" t="e">
        <f>AND(Birds!GI26,"AAAAAG+u3Io=")</f>
        <v>#VALUE!</v>
      </c>
      <c r="EJ57" t="e">
        <f>AND(Birds!GJ26,"AAAAAG+u3Is=")</f>
        <v>#VALUE!</v>
      </c>
      <c r="EK57" t="e">
        <f>AND(Birds!GK26,"AAAAAG+u3Iw=")</f>
        <v>#VALUE!</v>
      </c>
      <c r="EL57" t="e">
        <f>AND(Birds!GL26,"AAAAAG+u3I0=")</f>
        <v>#VALUE!</v>
      </c>
      <c r="EM57" t="e">
        <f>AND(Birds!GM26,"AAAAAG+u3I4=")</f>
        <v>#VALUE!</v>
      </c>
      <c r="EN57">
        <f>IF(Birds!27:27,"AAAAAG+u3I8=",0)</f>
        <v>0</v>
      </c>
      <c r="EO57" t="e">
        <f>AND(Birds!A27,"AAAAAG+u3JA=")</f>
        <v>#VALUE!</v>
      </c>
      <c r="EP57" t="e">
        <f>AND(Birds!B27,"AAAAAG+u3JE=")</f>
        <v>#VALUE!</v>
      </c>
      <c r="EQ57" t="e">
        <f>AND(Birds!C27,"AAAAAG+u3JI=")</f>
        <v>#VALUE!</v>
      </c>
      <c r="ER57" t="e">
        <f>AND(Birds!D27,"AAAAAG+u3JM=")</f>
        <v>#VALUE!</v>
      </c>
      <c r="ES57" t="e">
        <f>AND(Birds!E27,"AAAAAG+u3JQ=")</f>
        <v>#VALUE!</v>
      </c>
      <c r="ET57" t="e">
        <f>AND(Birds!F27,"AAAAAG+u3JU=")</f>
        <v>#VALUE!</v>
      </c>
      <c r="EU57" t="e">
        <f>AND(Birds!G27,"AAAAAG+u3JY=")</f>
        <v>#VALUE!</v>
      </c>
      <c r="EV57" t="e">
        <f>AND(Birds!H27,"AAAAAG+u3Jc=")</f>
        <v>#VALUE!</v>
      </c>
      <c r="EW57" t="e">
        <f>AND(Birds!I27,"AAAAAG+u3Jg=")</f>
        <v>#VALUE!</v>
      </c>
      <c r="EX57" t="e">
        <f>AND(Birds!J27,"AAAAAG+u3Jk=")</f>
        <v>#VALUE!</v>
      </c>
      <c r="EY57" t="e">
        <f>AND(Birds!K27,"AAAAAG+u3Jo=")</f>
        <v>#VALUE!</v>
      </c>
      <c r="EZ57" t="e">
        <f>AND(Birds!L27,"AAAAAG+u3Js=")</f>
        <v>#VALUE!</v>
      </c>
      <c r="FA57" t="e">
        <f>AND(Birds!M27,"AAAAAG+u3Jw=")</f>
        <v>#VALUE!</v>
      </c>
      <c r="FB57" t="e">
        <f>AND(Birds!N27,"AAAAAG+u3J0=")</f>
        <v>#VALUE!</v>
      </c>
      <c r="FC57" t="e">
        <f>AND(Birds!O27,"AAAAAG+u3J4=")</f>
        <v>#VALUE!</v>
      </c>
      <c r="FD57" t="e">
        <f>AND(Birds!P27,"AAAAAG+u3J8=")</f>
        <v>#VALUE!</v>
      </c>
      <c r="FE57" t="e">
        <f>AND(Birds!Q27,"AAAAAG+u3KA=")</f>
        <v>#VALUE!</v>
      </c>
      <c r="FF57" t="e">
        <f>AND(Birds!R27,"AAAAAG+u3KE=")</f>
        <v>#VALUE!</v>
      </c>
      <c r="FG57" t="e">
        <f>AND(Birds!S27,"AAAAAG+u3KI=")</f>
        <v>#VALUE!</v>
      </c>
      <c r="FH57" t="e">
        <f>AND(Birds!T27,"AAAAAG+u3KM=")</f>
        <v>#VALUE!</v>
      </c>
      <c r="FI57" t="e">
        <f>AND(Birds!U27,"AAAAAG+u3KQ=")</f>
        <v>#VALUE!</v>
      </c>
      <c r="FJ57" t="e">
        <f>AND(Birds!V27,"AAAAAG+u3KU=")</f>
        <v>#VALUE!</v>
      </c>
      <c r="FK57" t="e">
        <f>AND(Birds!W27,"AAAAAG+u3KY=")</f>
        <v>#VALUE!</v>
      </c>
      <c r="FL57" t="e">
        <f>AND(Birds!X27,"AAAAAG+u3Kc=")</f>
        <v>#VALUE!</v>
      </c>
      <c r="FM57" t="e">
        <f>AND(Birds!Y27,"AAAAAG+u3Kg=")</f>
        <v>#VALUE!</v>
      </c>
      <c r="FN57" t="e">
        <f>AND(Birds!Z27,"AAAAAG+u3Kk=")</f>
        <v>#VALUE!</v>
      </c>
      <c r="FO57" t="e">
        <f>AND(Birds!AA27,"AAAAAG+u3Ko=")</f>
        <v>#VALUE!</v>
      </c>
      <c r="FP57" t="e">
        <f>AND(Birds!AB27,"AAAAAG+u3Ks=")</f>
        <v>#VALUE!</v>
      </c>
      <c r="FQ57" t="e">
        <f>AND(Birds!AC27,"AAAAAG+u3Kw=")</f>
        <v>#VALUE!</v>
      </c>
      <c r="FR57" t="e">
        <f>AND(Birds!AD27,"AAAAAG+u3K0=")</f>
        <v>#VALUE!</v>
      </c>
      <c r="FS57" t="e">
        <f>AND(Birds!AE27,"AAAAAG+u3K4=")</f>
        <v>#VALUE!</v>
      </c>
      <c r="FT57" t="e">
        <f>AND(Birds!AF27,"AAAAAG+u3K8=")</f>
        <v>#VALUE!</v>
      </c>
      <c r="FU57" t="e">
        <f>AND(Birds!AG27,"AAAAAG+u3LA=")</f>
        <v>#VALUE!</v>
      </c>
      <c r="FV57" t="e">
        <f>AND(Birds!AH27,"AAAAAG+u3LE=")</f>
        <v>#VALUE!</v>
      </c>
      <c r="FW57" t="e">
        <f>AND(Birds!AI27,"AAAAAG+u3LI=")</f>
        <v>#VALUE!</v>
      </c>
      <c r="FX57" t="e">
        <f>AND(Birds!AJ27,"AAAAAG+u3LM=")</f>
        <v>#VALUE!</v>
      </c>
      <c r="FY57" t="e">
        <f>AND(Birds!AK27,"AAAAAG+u3LQ=")</f>
        <v>#VALUE!</v>
      </c>
      <c r="FZ57" t="e">
        <f>AND(Birds!AL27,"AAAAAG+u3LU=")</f>
        <v>#VALUE!</v>
      </c>
      <c r="GA57" t="e">
        <f>AND(Birds!AM27,"AAAAAG+u3LY=")</f>
        <v>#VALUE!</v>
      </c>
      <c r="GB57" t="e">
        <f>AND(Birds!AN27,"AAAAAG+u3Lc=")</f>
        <v>#VALUE!</v>
      </c>
      <c r="GC57" t="e">
        <f>AND(Birds!AO27,"AAAAAG+u3Lg=")</f>
        <v>#VALUE!</v>
      </c>
      <c r="GD57" t="e">
        <f>AND(Birds!AP27,"AAAAAG+u3Lk=")</f>
        <v>#VALUE!</v>
      </c>
      <c r="GE57" t="e">
        <f>AND(Birds!AQ27,"AAAAAG+u3Lo=")</f>
        <v>#VALUE!</v>
      </c>
      <c r="GF57" t="e">
        <f>AND(Birds!AR27,"AAAAAG+u3Ls=")</f>
        <v>#VALUE!</v>
      </c>
      <c r="GG57" t="e">
        <f>AND(Birds!AS27,"AAAAAG+u3Lw=")</f>
        <v>#VALUE!</v>
      </c>
      <c r="GH57" t="e">
        <f>AND(Birds!AT27,"AAAAAG+u3L0=")</f>
        <v>#VALUE!</v>
      </c>
      <c r="GI57" t="e">
        <f>AND(Birds!AU27,"AAAAAG+u3L4=")</f>
        <v>#VALUE!</v>
      </c>
      <c r="GJ57" t="e">
        <f>AND(Birds!AV27,"AAAAAG+u3L8=")</f>
        <v>#VALUE!</v>
      </c>
      <c r="GK57" t="e">
        <f>AND(Birds!AW27,"AAAAAG+u3MA=")</f>
        <v>#VALUE!</v>
      </c>
      <c r="GL57" t="e">
        <f>AND(Birds!AX27,"AAAAAG+u3ME=")</f>
        <v>#VALUE!</v>
      </c>
      <c r="GM57" t="e">
        <f>AND(Birds!AY27,"AAAAAG+u3MI=")</f>
        <v>#VALUE!</v>
      </c>
      <c r="GN57" t="e">
        <f>AND(Birds!AZ27,"AAAAAG+u3MM=")</f>
        <v>#VALUE!</v>
      </c>
      <c r="GO57" t="e">
        <f>AND(Birds!BA27,"AAAAAG+u3MQ=")</f>
        <v>#VALUE!</v>
      </c>
      <c r="GP57" t="e">
        <f>AND(Birds!BB27,"AAAAAG+u3MU=")</f>
        <v>#VALUE!</v>
      </c>
      <c r="GQ57" t="e">
        <f>AND(Birds!BC27,"AAAAAG+u3MY=")</f>
        <v>#VALUE!</v>
      </c>
      <c r="GR57" t="e">
        <f>AND(Birds!BD27,"AAAAAG+u3Mc=")</f>
        <v>#VALUE!</v>
      </c>
      <c r="GS57" t="e">
        <f>AND(Birds!BE27,"AAAAAG+u3Mg=")</f>
        <v>#VALUE!</v>
      </c>
      <c r="GT57" t="e">
        <f>AND(Birds!BF27,"AAAAAG+u3Mk=")</f>
        <v>#VALUE!</v>
      </c>
      <c r="GU57" t="e">
        <f>AND(Birds!BG27,"AAAAAG+u3Mo=")</f>
        <v>#VALUE!</v>
      </c>
      <c r="GV57" t="e">
        <f>AND(Birds!BH27,"AAAAAG+u3Ms=")</f>
        <v>#VALUE!</v>
      </c>
      <c r="GW57" t="e">
        <f>AND(Birds!BI27,"AAAAAG+u3Mw=")</f>
        <v>#VALUE!</v>
      </c>
      <c r="GX57" t="e">
        <f>AND(Birds!BJ27,"AAAAAG+u3M0=")</f>
        <v>#VALUE!</v>
      </c>
      <c r="GY57" t="e">
        <f>AND(Birds!BK27,"AAAAAG+u3M4=")</f>
        <v>#VALUE!</v>
      </c>
      <c r="GZ57" t="e">
        <f>AND(Birds!BL27,"AAAAAG+u3M8=")</f>
        <v>#VALUE!</v>
      </c>
      <c r="HA57" t="e">
        <f>AND(Birds!BM27,"AAAAAG+u3NA=")</f>
        <v>#VALUE!</v>
      </c>
      <c r="HB57" t="e">
        <f>AND(Birds!BN27,"AAAAAG+u3NE=")</f>
        <v>#VALUE!</v>
      </c>
      <c r="HC57" t="e">
        <f>AND(Birds!BO27,"AAAAAG+u3NI=")</f>
        <v>#VALUE!</v>
      </c>
      <c r="HD57" t="e">
        <f>AND(Birds!BP27,"AAAAAG+u3NM=")</f>
        <v>#VALUE!</v>
      </c>
      <c r="HE57" t="e">
        <f>AND(Birds!BQ27,"AAAAAG+u3NQ=")</f>
        <v>#VALUE!</v>
      </c>
      <c r="HF57" t="e">
        <f>AND(Birds!BR27,"AAAAAG+u3NU=")</f>
        <v>#VALUE!</v>
      </c>
      <c r="HG57" t="e">
        <f>AND(Birds!BS27,"AAAAAG+u3NY=")</f>
        <v>#VALUE!</v>
      </c>
      <c r="HH57" t="e">
        <f>AND(Birds!BT27,"AAAAAG+u3Nc=")</f>
        <v>#VALUE!</v>
      </c>
      <c r="HI57" t="e">
        <f>AND(Birds!BU27,"AAAAAG+u3Ng=")</f>
        <v>#VALUE!</v>
      </c>
      <c r="HJ57" t="e">
        <f>AND(Birds!BV27,"AAAAAG+u3Nk=")</f>
        <v>#VALUE!</v>
      </c>
      <c r="HK57" t="e">
        <f>AND(Birds!BW27,"AAAAAG+u3No=")</f>
        <v>#VALUE!</v>
      </c>
      <c r="HL57" t="e">
        <f>AND(Birds!BX27,"AAAAAG+u3Ns=")</f>
        <v>#VALUE!</v>
      </c>
      <c r="HM57" t="e">
        <f>AND(Birds!BY27,"AAAAAG+u3Nw=")</f>
        <v>#VALUE!</v>
      </c>
      <c r="HN57" t="e">
        <f>AND(Birds!BZ27,"AAAAAG+u3N0=")</f>
        <v>#VALUE!</v>
      </c>
      <c r="HO57" t="e">
        <f>AND(Birds!CA27,"AAAAAG+u3N4=")</f>
        <v>#VALUE!</v>
      </c>
      <c r="HP57" t="e">
        <f>AND(Birds!CB27,"AAAAAG+u3N8=")</f>
        <v>#VALUE!</v>
      </c>
      <c r="HQ57" t="e">
        <f>AND(Birds!CC27,"AAAAAG+u3OA=")</f>
        <v>#VALUE!</v>
      </c>
      <c r="HR57" t="e">
        <f>AND(Birds!CD27,"AAAAAG+u3OE=")</f>
        <v>#VALUE!</v>
      </c>
      <c r="HS57" t="e">
        <f>AND(Birds!CE27,"AAAAAG+u3OI=")</f>
        <v>#VALUE!</v>
      </c>
      <c r="HT57" t="e">
        <f>AND(Birds!CF27,"AAAAAG+u3OM=")</f>
        <v>#VALUE!</v>
      </c>
      <c r="HU57" t="e">
        <f>AND(Birds!CG27,"AAAAAG+u3OQ=")</f>
        <v>#VALUE!</v>
      </c>
      <c r="HV57" t="e">
        <f>AND(Birds!CH27,"AAAAAG+u3OU=")</f>
        <v>#VALUE!</v>
      </c>
      <c r="HW57" t="e">
        <f>AND(Birds!CI27,"AAAAAG+u3OY=")</f>
        <v>#VALUE!</v>
      </c>
      <c r="HX57" t="e">
        <f>AND(Birds!CJ27,"AAAAAG+u3Oc=")</f>
        <v>#VALUE!</v>
      </c>
      <c r="HY57" t="e">
        <f>AND(Birds!CK27,"AAAAAG+u3Og=")</f>
        <v>#VALUE!</v>
      </c>
      <c r="HZ57" t="e">
        <f>AND(Birds!CL27,"AAAAAG+u3Ok=")</f>
        <v>#VALUE!</v>
      </c>
      <c r="IA57" t="e">
        <f>AND(Birds!CM27,"AAAAAG+u3Oo=")</f>
        <v>#VALUE!</v>
      </c>
      <c r="IB57" t="e">
        <f>AND(Birds!CN27,"AAAAAG+u3Os=")</f>
        <v>#VALUE!</v>
      </c>
      <c r="IC57" t="e">
        <f>AND(Birds!CO27,"AAAAAG+u3Ow=")</f>
        <v>#VALUE!</v>
      </c>
      <c r="ID57" t="e">
        <f>AND(Birds!CP27,"AAAAAG+u3O0=")</f>
        <v>#VALUE!</v>
      </c>
      <c r="IE57" t="e">
        <f>AND(Birds!CQ27,"AAAAAG+u3O4=")</f>
        <v>#VALUE!</v>
      </c>
      <c r="IF57" t="e">
        <f>AND(Birds!CR27,"AAAAAG+u3O8=")</f>
        <v>#VALUE!</v>
      </c>
      <c r="IG57" t="e">
        <f>AND(Birds!CS27,"AAAAAG+u3PA=")</f>
        <v>#VALUE!</v>
      </c>
      <c r="IH57" t="e">
        <f>AND(Birds!CT27,"AAAAAG+u3PE=")</f>
        <v>#VALUE!</v>
      </c>
      <c r="II57" t="e">
        <f>AND(Birds!CU27,"AAAAAG+u3PI=")</f>
        <v>#VALUE!</v>
      </c>
      <c r="IJ57" t="e">
        <f>AND(Birds!CV27,"AAAAAG+u3PM=")</f>
        <v>#VALUE!</v>
      </c>
      <c r="IK57" t="e">
        <f>AND(Birds!CW27,"AAAAAG+u3PQ=")</f>
        <v>#VALUE!</v>
      </c>
      <c r="IL57" t="e">
        <f>AND(Birds!CX27,"AAAAAG+u3PU=")</f>
        <v>#VALUE!</v>
      </c>
      <c r="IM57" t="e">
        <f>AND(Birds!CY27,"AAAAAG+u3PY=")</f>
        <v>#VALUE!</v>
      </c>
      <c r="IN57" t="e">
        <f>AND(Birds!CZ27,"AAAAAG+u3Pc=")</f>
        <v>#VALUE!</v>
      </c>
      <c r="IO57" t="e">
        <f>AND(Birds!DA27,"AAAAAG+u3Pg=")</f>
        <v>#VALUE!</v>
      </c>
      <c r="IP57" t="e">
        <f>AND(Birds!DB27,"AAAAAG+u3Pk=")</f>
        <v>#VALUE!</v>
      </c>
      <c r="IQ57" t="e">
        <f>AND(Birds!DC27,"AAAAAG+u3Po=")</f>
        <v>#VALUE!</v>
      </c>
      <c r="IR57" t="e">
        <f>AND(Birds!DD27,"AAAAAG+u3Ps=")</f>
        <v>#VALUE!</v>
      </c>
      <c r="IS57" t="e">
        <f>AND(Birds!DE27,"AAAAAG+u3Pw=")</f>
        <v>#VALUE!</v>
      </c>
      <c r="IT57" t="e">
        <f>AND(Birds!DF27,"AAAAAG+u3P0=")</f>
        <v>#VALUE!</v>
      </c>
      <c r="IU57" t="e">
        <f>AND(Birds!DG27,"AAAAAG+u3P4=")</f>
        <v>#VALUE!</v>
      </c>
      <c r="IV57" t="e">
        <f>AND(Birds!DH27,"AAAAAG+u3P8=")</f>
        <v>#VALUE!</v>
      </c>
    </row>
    <row r="58" spans="1:256">
      <c r="A58" t="e">
        <f>AND(Birds!DI27,"AAAAAH9vfwA=")</f>
        <v>#VALUE!</v>
      </c>
      <c r="B58" t="e">
        <f>AND(Birds!DJ27,"AAAAAH9vfwE=")</f>
        <v>#VALUE!</v>
      </c>
      <c r="C58" t="e">
        <f>AND(Birds!DK27,"AAAAAH9vfwI=")</f>
        <v>#VALUE!</v>
      </c>
      <c r="D58" t="e">
        <f>AND(Birds!DL27,"AAAAAH9vfwM=")</f>
        <v>#VALUE!</v>
      </c>
      <c r="E58" t="e">
        <f>AND(Birds!DM27,"AAAAAH9vfwQ=")</f>
        <v>#VALUE!</v>
      </c>
      <c r="F58" t="e">
        <f>AND(Birds!DN27,"AAAAAH9vfwU=")</f>
        <v>#VALUE!</v>
      </c>
      <c r="G58" t="e">
        <f>AND(Birds!DO27,"AAAAAH9vfwY=")</f>
        <v>#VALUE!</v>
      </c>
      <c r="H58" t="e">
        <f>AND(Birds!DP27,"AAAAAH9vfwc=")</f>
        <v>#VALUE!</v>
      </c>
      <c r="I58" t="e">
        <f>AND(Birds!DQ27,"AAAAAH9vfwg=")</f>
        <v>#VALUE!</v>
      </c>
      <c r="J58" t="e">
        <f>AND(Birds!DR27,"AAAAAH9vfwk=")</f>
        <v>#VALUE!</v>
      </c>
      <c r="K58" t="e">
        <f>AND(Birds!DS27,"AAAAAH9vfwo=")</f>
        <v>#VALUE!</v>
      </c>
      <c r="L58" t="e">
        <f>AND(Birds!DT27,"AAAAAH9vfws=")</f>
        <v>#VALUE!</v>
      </c>
      <c r="M58" t="e">
        <f>AND(Birds!DU27,"AAAAAH9vfww=")</f>
        <v>#VALUE!</v>
      </c>
      <c r="N58" t="e">
        <f>AND(Birds!DV27,"AAAAAH9vfw0=")</f>
        <v>#VALUE!</v>
      </c>
      <c r="O58" t="e">
        <f>AND(Birds!DW27,"AAAAAH9vfw4=")</f>
        <v>#VALUE!</v>
      </c>
      <c r="P58" t="e">
        <f>AND(Birds!DX27,"AAAAAH9vfw8=")</f>
        <v>#VALUE!</v>
      </c>
      <c r="Q58" t="e">
        <f>AND(Birds!DY27,"AAAAAH9vfxA=")</f>
        <v>#VALUE!</v>
      </c>
      <c r="R58" t="e">
        <f>AND(Birds!DZ27,"AAAAAH9vfxE=")</f>
        <v>#VALUE!</v>
      </c>
      <c r="S58" t="e">
        <f>AND(Birds!EA27,"AAAAAH9vfxI=")</f>
        <v>#VALUE!</v>
      </c>
      <c r="T58" t="e">
        <f>AND(Birds!EB27,"AAAAAH9vfxM=")</f>
        <v>#VALUE!</v>
      </c>
      <c r="U58" t="e">
        <f>AND(Birds!EC27,"AAAAAH9vfxQ=")</f>
        <v>#VALUE!</v>
      </c>
      <c r="V58" t="e">
        <f>AND(Birds!ED27,"AAAAAH9vfxU=")</f>
        <v>#VALUE!</v>
      </c>
      <c r="W58" t="e">
        <f>AND(Birds!EE27,"AAAAAH9vfxY=")</f>
        <v>#VALUE!</v>
      </c>
      <c r="X58" t="e">
        <f>AND(Birds!EF27,"AAAAAH9vfxc=")</f>
        <v>#VALUE!</v>
      </c>
      <c r="Y58" t="e">
        <f>AND(Birds!EG27,"AAAAAH9vfxg=")</f>
        <v>#VALUE!</v>
      </c>
      <c r="Z58" t="e">
        <f>AND(Birds!EH27,"AAAAAH9vfxk=")</f>
        <v>#VALUE!</v>
      </c>
      <c r="AA58" t="e">
        <f>AND(Birds!EI27,"AAAAAH9vfxo=")</f>
        <v>#VALUE!</v>
      </c>
      <c r="AB58" t="e">
        <f>AND(Birds!EJ27,"AAAAAH9vfxs=")</f>
        <v>#VALUE!</v>
      </c>
      <c r="AC58" t="e">
        <f>AND(Birds!EK27,"AAAAAH9vfxw=")</f>
        <v>#VALUE!</v>
      </c>
      <c r="AD58" t="e">
        <f>AND(Birds!EL27,"AAAAAH9vfx0=")</f>
        <v>#VALUE!</v>
      </c>
      <c r="AE58" t="e">
        <f>AND(Birds!EM27,"AAAAAH9vfx4=")</f>
        <v>#VALUE!</v>
      </c>
      <c r="AF58" t="e">
        <f>AND(Birds!EN27,"AAAAAH9vfx8=")</f>
        <v>#VALUE!</v>
      </c>
      <c r="AG58" t="e">
        <f>AND(Birds!EO27,"AAAAAH9vfyA=")</f>
        <v>#VALUE!</v>
      </c>
      <c r="AH58" t="e">
        <f>AND(Birds!EP27,"AAAAAH9vfyE=")</f>
        <v>#VALUE!</v>
      </c>
      <c r="AI58" t="e">
        <f>AND(Birds!EQ27,"AAAAAH9vfyI=")</f>
        <v>#VALUE!</v>
      </c>
      <c r="AJ58" t="e">
        <f>AND(Birds!ER27,"AAAAAH9vfyM=")</f>
        <v>#VALUE!</v>
      </c>
      <c r="AK58" t="e">
        <f>AND(Birds!ES27,"AAAAAH9vfyQ=")</f>
        <v>#VALUE!</v>
      </c>
      <c r="AL58" t="e">
        <f>AND(Birds!ET27,"AAAAAH9vfyU=")</f>
        <v>#VALUE!</v>
      </c>
      <c r="AM58" t="e">
        <f>AND(Birds!EU27,"AAAAAH9vfyY=")</f>
        <v>#VALUE!</v>
      </c>
      <c r="AN58" t="e">
        <f>AND(Birds!EV27,"AAAAAH9vfyc=")</f>
        <v>#VALUE!</v>
      </c>
      <c r="AO58" t="e">
        <f>AND(Birds!EW27,"AAAAAH9vfyg=")</f>
        <v>#VALUE!</v>
      </c>
      <c r="AP58" t="e">
        <f>AND(Birds!EX27,"AAAAAH9vfyk=")</f>
        <v>#VALUE!</v>
      </c>
      <c r="AQ58" t="e">
        <f>AND(Birds!EY27,"AAAAAH9vfyo=")</f>
        <v>#VALUE!</v>
      </c>
      <c r="AR58" t="e">
        <f>AND(Birds!EZ27,"AAAAAH9vfys=")</f>
        <v>#VALUE!</v>
      </c>
      <c r="AS58" t="e">
        <f>AND(Birds!FA27,"AAAAAH9vfyw=")</f>
        <v>#VALUE!</v>
      </c>
      <c r="AT58" t="e">
        <f>AND(Birds!FB27,"AAAAAH9vfy0=")</f>
        <v>#VALUE!</v>
      </c>
      <c r="AU58" t="e">
        <f>AND(Birds!FC27,"AAAAAH9vfy4=")</f>
        <v>#VALUE!</v>
      </c>
      <c r="AV58" t="e">
        <f>AND(Birds!FD27,"AAAAAH9vfy8=")</f>
        <v>#VALUE!</v>
      </c>
      <c r="AW58" t="e">
        <f>AND(Birds!FE27,"AAAAAH9vfzA=")</f>
        <v>#VALUE!</v>
      </c>
      <c r="AX58" t="e">
        <f>AND(Birds!FF27,"AAAAAH9vfzE=")</f>
        <v>#VALUE!</v>
      </c>
      <c r="AY58" t="e">
        <f>AND(Birds!FG27,"AAAAAH9vfzI=")</f>
        <v>#VALUE!</v>
      </c>
      <c r="AZ58" t="e">
        <f>AND(Birds!FH27,"AAAAAH9vfzM=")</f>
        <v>#VALUE!</v>
      </c>
      <c r="BA58" t="e">
        <f>AND(Birds!FI27,"AAAAAH9vfzQ=")</f>
        <v>#VALUE!</v>
      </c>
      <c r="BB58" t="e">
        <f>AND(Birds!FJ27,"AAAAAH9vfzU=")</f>
        <v>#VALUE!</v>
      </c>
      <c r="BC58" t="e">
        <f>AND(Birds!FK27,"AAAAAH9vfzY=")</f>
        <v>#VALUE!</v>
      </c>
      <c r="BD58" t="e">
        <f>AND(Birds!FL27,"AAAAAH9vfzc=")</f>
        <v>#VALUE!</v>
      </c>
      <c r="BE58" t="e">
        <f>AND(Birds!FM27,"AAAAAH9vfzg=")</f>
        <v>#VALUE!</v>
      </c>
      <c r="BF58" t="e">
        <f>AND(Birds!FN27,"AAAAAH9vfzk=")</f>
        <v>#VALUE!</v>
      </c>
      <c r="BG58" t="e">
        <f>AND(Birds!FO27,"AAAAAH9vfzo=")</f>
        <v>#VALUE!</v>
      </c>
      <c r="BH58" t="e">
        <f>AND(Birds!FP27,"AAAAAH9vfzs=")</f>
        <v>#VALUE!</v>
      </c>
      <c r="BI58" t="e">
        <f>AND(Birds!FQ27,"AAAAAH9vfzw=")</f>
        <v>#VALUE!</v>
      </c>
      <c r="BJ58" t="e">
        <f>AND(Birds!FR27,"AAAAAH9vfz0=")</f>
        <v>#VALUE!</v>
      </c>
      <c r="BK58" t="e">
        <f>AND(Birds!FS27,"AAAAAH9vfz4=")</f>
        <v>#VALUE!</v>
      </c>
      <c r="BL58" t="e">
        <f>AND(Birds!FT27,"AAAAAH9vfz8=")</f>
        <v>#VALUE!</v>
      </c>
      <c r="BM58" t="e">
        <f>AND(Birds!FU27,"AAAAAH9vf0A=")</f>
        <v>#VALUE!</v>
      </c>
      <c r="BN58" t="e">
        <f>AND(Birds!FV27,"AAAAAH9vf0E=")</f>
        <v>#VALUE!</v>
      </c>
      <c r="BO58" t="e">
        <f>AND(Birds!FW27,"AAAAAH9vf0I=")</f>
        <v>#VALUE!</v>
      </c>
      <c r="BP58" t="e">
        <f>AND(Birds!FX27,"AAAAAH9vf0M=")</f>
        <v>#VALUE!</v>
      </c>
      <c r="BQ58" t="e">
        <f>AND(Birds!FY27,"AAAAAH9vf0Q=")</f>
        <v>#VALUE!</v>
      </c>
      <c r="BR58" t="e">
        <f>AND(Birds!FZ27,"AAAAAH9vf0U=")</f>
        <v>#VALUE!</v>
      </c>
      <c r="BS58" t="e">
        <f>AND(Birds!GA27,"AAAAAH9vf0Y=")</f>
        <v>#VALUE!</v>
      </c>
      <c r="BT58" t="e">
        <f>AND(Birds!GB27,"AAAAAH9vf0c=")</f>
        <v>#VALUE!</v>
      </c>
      <c r="BU58" t="e">
        <f>AND(Birds!GC27,"AAAAAH9vf0g=")</f>
        <v>#VALUE!</v>
      </c>
      <c r="BV58" t="e">
        <f>AND(Birds!GD27,"AAAAAH9vf0k=")</f>
        <v>#VALUE!</v>
      </c>
      <c r="BW58" t="e">
        <f>AND(Birds!GE27,"AAAAAH9vf0o=")</f>
        <v>#VALUE!</v>
      </c>
      <c r="BX58" t="e">
        <f>AND(Birds!GF27,"AAAAAH9vf0s=")</f>
        <v>#VALUE!</v>
      </c>
      <c r="BY58" t="e">
        <f>AND(Birds!GG27,"AAAAAH9vf0w=")</f>
        <v>#VALUE!</v>
      </c>
      <c r="BZ58" t="e">
        <f>AND(Birds!GH27,"AAAAAH9vf00=")</f>
        <v>#VALUE!</v>
      </c>
      <c r="CA58" t="e">
        <f>AND(Birds!GI27,"AAAAAH9vf04=")</f>
        <v>#VALUE!</v>
      </c>
      <c r="CB58" t="e">
        <f>AND(Birds!GJ27,"AAAAAH9vf08=")</f>
        <v>#VALUE!</v>
      </c>
      <c r="CC58" t="e">
        <f>AND(Birds!GK27,"AAAAAH9vf1A=")</f>
        <v>#VALUE!</v>
      </c>
      <c r="CD58" t="e">
        <f>AND(Birds!GL27,"AAAAAH9vf1E=")</f>
        <v>#VALUE!</v>
      </c>
      <c r="CE58" t="e">
        <f>AND(Birds!GM27,"AAAAAH9vf1I=")</f>
        <v>#VALUE!</v>
      </c>
      <c r="CF58">
        <f>IF(Birds!28:28,"AAAAAH9vf1M=",0)</f>
        <v>0</v>
      </c>
      <c r="CG58" t="e">
        <f>AND(Birds!A28,"AAAAAH9vf1Q=")</f>
        <v>#VALUE!</v>
      </c>
      <c r="CH58" t="e">
        <f>AND(Birds!B28,"AAAAAH9vf1U=")</f>
        <v>#VALUE!</v>
      </c>
      <c r="CI58" t="e">
        <f>AND(Birds!C28,"AAAAAH9vf1Y=")</f>
        <v>#VALUE!</v>
      </c>
      <c r="CJ58" t="e">
        <f>AND(Birds!D28,"AAAAAH9vf1c=")</f>
        <v>#VALUE!</v>
      </c>
      <c r="CK58" t="e">
        <f>AND(Birds!E28,"AAAAAH9vf1g=")</f>
        <v>#VALUE!</v>
      </c>
      <c r="CL58" t="e">
        <f>AND(Birds!F28,"AAAAAH9vf1k=")</f>
        <v>#VALUE!</v>
      </c>
      <c r="CM58" t="e">
        <f>AND(Birds!G28,"AAAAAH9vf1o=")</f>
        <v>#VALUE!</v>
      </c>
      <c r="CN58" t="e">
        <f>AND(Birds!H28,"AAAAAH9vf1s=")</f>
        <v>#VALUE!</v>
      </c>
      <c r="CO58" t="e">
        <f>AND(Birds!I28,"AAAAAH9vf1w=")</f>
        <v>#VALUE!</v>
      </c>
      <c r="CP58" t="e">
        <f>AND(Birds!J28,"AAAAAH9vf10=")</f>
        <v>#VALUE!</v>
      </c>
      <c r="CQ58" t="e">
        <f>AND(Birds!K28,"AAAAAH9vf14=")</f>
        <v>#VALUE!</v>
      </c>
      <c r="CR58" t="e">
        <f>AND(Birds!L28,"AAAAAH9vf18=")</f>
        <v>#VALUE!</v>
      </c>
      <c r="CS58" t="e">
        <f>AND(Birds!M28,"AAAAAH9vf2A=")</f>
        <v>#VALUE!</v>
      </c>
      <c r="CT58" t="e">
        <f>AND(Birds!N28,"AAAAAH9vf2E=")</f>
        <v>#VALUE!</v>
      </c>
      <c r="CU58" t="e">
        <f>AND(Birds!O28,"AAAAAH9vf2I=")</f>
        <v>#VALUE!</v>
      </c>
      <c r="CV58" t="e">
        <f>AND(Birds!P28,"AAAAAH9vf2M=")</f>
        <v>#VALUE!</v>
      </c>
      <c r="CW58" t="e">
        <f>AND(Birds!Q28,"AAAAAH9vf2Q=")</f>
        <v>#VALUE!</v>
      </c>
      <c r="CX58" t="e">
        <f>AND(Birds!R28,"AAAAAH9vf2U=")</f>
        <v>#VALUE!</v>
      </c>
      <c r="CY58" t="e">
        <f>AND(Birds!S28,"AAAAAH9vf2Y=")</f>
        <v>#VALUE!</v>
      </c>
      <c r="CZ58" t="e">
        <f>AND(Birds!T28,"AAAAAH9vf2c=")</f>
        <v>#VALUE!</v>
      </c>
      <c r="DA58" t="e">
        <f>AND(Birds!U28,"AAAAAH9vf2g=")</f>
        <v>#VALUE!</v>
      </c>
      <c r="DB58" t="e">
        <f>AND(Birds!V28,"AAAAAH9vf2k=")</f>
        <v>#VALUE!</v>
      </c>
      <c r="DC58" t="e">
        <f>AND(Birds!W28,"AAAAAH9vf2o=")</f>
        <v>#VALUE!</v>
      </c>
      <c r="DD58" t="e">
        <f>AND(Birds!X28,"AAAAAH9vf2s=")</f>
        <v>#VALUE!</v>
      </c>
      <c r="DE58" t="e">
        <f>AND(Birds!Y28,"AAAAAH9vf2w=")</f>
        <v>#VALUE!</v>
      </c>
      <c r="DF58" t="e">
        <f>AND(Birds!Z28,"AAAAAH9vf20=")</f>
        <v>#VALUE!</v>
      </c>
      <c r="DG58" t="e">
        <f>AND(Birds!AA28,"AAAAAH9vf24=")</f>
        <v>#VALUE!</v>
      </c>
      <c r="DH58" t="e">
        <f>AND(Birds!AB28,"AAAAAH9vf28=")</f>
        <v>#VALUE!</v>
      </c>
      <c r="DI58" t="e">
        <f>AND(Birds!AC28,"AAAAAH9vf3A=")</f>
        <v>#VALUE!</v>
      </c>
      <c r="DJ58" t="e">
        <f>AND(Birds!AD28,"AAAAAH9vf3E=")</f>
        <v>#VALUE!</v>
      </c>
      <c r="DK58" t="e">
        <f>AND(Birds!AE28,"AAAAAH9vf3I=")</f>
        <v>#VALUE!</v>
      </c>
      <c r="DL58" t="e">
        <f>AND(Birds!AF28,"AAAAAH9vf3M=")</f>
        <v>#VALUE!</v>
      </c>
      <c r="DM58" t="e">
        <f>AND(Birds!AG28,"AAAAAH9vf3Q=")</f>
        <v>#VALUE!</v>
      </c>
      <c r="DN58" t="e">
        <f>AND(Birds!AH28,"AAAAAH9vf3U=")</f>
        <v>#VALUE!</v>
      </c>
      <c r="DO58" t="e">
        <f>AND(Birds!AI28,"AAAAAH9vf3Y=")</f>
        <v>#VALUE!</v>
      </c>
      <c r="DP58" t="e">
        <f>AND(Birds!AJ28,"AAAAAH9vf3c=")</f>
        <v>#VALUE!</v>
      </c>
      <c r="DQ58" t="e">
        <f>AND(Birds!AK28,"AAAAAH9vf3g=")</f>
        <v>#VALUE!</v>
      </c>
      <c r="DR58" t="e">
        <f>AND(Birds!AL28,"AAAAAH9vf3k=")</f>
        <v>#VALUE!</v>
      </c>
      <c r="DS58" t="e">
        <f>AND(Birds!AM28,"AAAAAH9vf3o=")</f>
        <v>#VALUE!</v>
      </c>
      <c r="DT58" t="e">
        <f>AND(Birds!AN28,"AAAAAH9vf3s=")</f>
        <v>#VALUE!</v>
      </c>
      <c r="DU58" t="e">
        <f>AND(Birds!AO28,"AAAAAH9vf3w=")</f>
        <v>#VALUE!</v>
      </c>
      <c r="DV58" t="e">
        <f>AND(Birds!AP28,"AAAAAH9vf30=")</f>
        <v>#VALUE!</v>
      </c>
      <c r="DW58" t="e">
        <f>AND(Birds!AQ28,"AAAAAH9vf34=")</f>
        <v>#VALUE!</v>
      </c>
      <c r="DX58" t="e">
        <f>AND(Birds!AR28,"AAAAAH9vf38=")</f>
        <v>#VALUE!</v>
      </c>
      <c r="DY58" t="e">
        <f>AND(Birds!AS28,"AAAAAH9vf4A=")</f>
        <v>#VALUE!</v>
      </c>
      <c r="DZ58" t="e">
        <f>AND(Birds!AT28,"AAAAAH9vf4E=")</f>
        <v>#VALUE!</v>
      </c>
      <c r="EA58" t="e">
        <f>AND(Birds!AU28,"AAAAAH9vf4I=")</f>
        <v>#VALUE!</v>
      </c>
      <c r="EB58" t="e">
        <f>AND(Birds!AV28,"AAAAAH9vf4M=")</f>
        <v>#VALUE!</v>
      </c>
      <c r="EC58" t="e">
        <f>AND(Birds!AW28,"AAAAAH9vf4Q=")</f>
        <v>#VALUE!</v>
      </c>
      <c r="ED58" t="e">
        <f>AND(Birds!AX28,"AAAAAH9vf4U=")</f>
        <v>#VALUE!</v>
      </c>
      <c r="EE58" t="e">
        <f>AND(Birds!AY28,"AAAAAH9vf4Y=")</f>
        <v>#VALUE!</v>
      </c>
      <c r="EF58" t="e">
        <f>AND(Birds!AZ28,"AAAAAH9vf4c=")</f>
        <v>#VALUE!</v>
      </c>
      <c r="EG58" t="e">
        <f>AND(Birds!BA28,"AAAAAH9vf4g=")</f>
        <v>#VALUE!</v>
      </c>
      <c r="EH58" t="e">
        <f>AND(Birds!BB28,"AAAAAH9vf4k=")</f>
        <v>#VALUE!</v>
      </c>
      <c r="EI58" t="e">
        <f>AND(Birds!BC28,"AAAAAH9vf4o=")</f>
        <v>#VALUE!</v>
      </c>
      <c r="EJ58" t="e">
        <f>AND(Birds!BD28,"AAAAAH9vf4s=")</f>
        <v>#VALUE!</v>
      </c>
      <c r="EK58" t="e">
        <f>AND(Birds!BE28,"AAAAAH9vf4w=")</f>
        <v>#VALUE!</v>
      </c>
      <c r="EL58" t="e">
        <f>AND(Birds!BF28,"AAAAAH9vf40=")</f>
        <v>#VALUE!</v>
      </c>
      <c r="EM58" t="e">
        <f>AND(Birds!BG28,"AAAAAH9vf44=")</f>
        <v>#VALUE!</v>
      </c>
      <c r="EN58" t="e">
        <f>AND(Birds!BH28,"AAAAAH9vf48=")</f>
        <v>#VALUE!</v>
      </c>
      <c r="EO58" t="e">
        <f>AND(Birds!BI28,"AAAAAH9vf5A=")</f>
        <v>#VALUE!</v>
      </c>
      <c r="EP58" t="e">
        <f>AND(Birds!BJ28,"AAAAAH9vf5E=")</f>
        <v>#VALUE!</v>
      </c>
      <c r="EQ58" t="e">
        <f>AND(Birds!BK28,"AAAAAH9vf5I=")</f>
        <v>#VALUE!</v>
      </c>
      <c r="ER58" t="e">
        <f>AND(Birds!BL28,"AAAAAH9vf5M=")</f>
        <v>#VALUE!</v>
      </c>
      <c r="ES58" t="e">
        <f>AND(Birds!BM28,"AAAAAH9vf5Q=")</f>
        <v>#VALUE!</v>
      </c>
      <c r="ET58" t="e">
        <f>AND(Birds!BN28,"AAAAAH9vf5U=")</f>
        <v>#VALUE!</v>
      </c>
      <c r="EU58" t="e">
        <f>AND(Birds!BO28,"AAAAAH9vf5Y=")</f>
        <v>#VALUE!</v>
      </c>
      <c r="EV58" t="e">
        <f>AND(Birds!BP28,"AAAAAH9vf5c=")</f>
        <v>#VALUE!</v>
      </c>
      <c r="EW58" t="e">
        <f>AND(Birds!BQ28,"AAAAAH9vf5g=")</f>
        <v>#VALUE!</v>
      </c>
      <c r="EX58" t="e">
        <f>AND(Birds!BR28,"AAAAAH9vf5k=")</f>
        <v>#VALUE!</v>
      </c>
      <c r="EY58" t="e">
        <f>AND(Birds!BS28,"AAAAAH9vf5o=")</f>
        <v>#VALUE!</v>
      </c>
      <c r="EZ58" t="e">
        <f>AND(Birds!BT28,"AAAAAH9vf5s=")</f>
        <v>#VALUE!</v>
      </c>
      <c r="FA58" t="e">
        <f>AND(Birds!BU28,"AAAAAH9vf5w=")</f>
        <v>#VALUE!</v>
      </c>
      <c r="FB58" t="e">
        <f>AND(Birds!BV28,"AAAAAH9vf50=")</f>
        <v>#VALUE!</v>
      </c>
      <c r="FC58" t="e">
        <f>AND(Birds!BW28,"AAAAAH9vf54=")</f>
        <v>#VALUE!</v>
      </c>
      <c r="FD58" t="e">
        <f>AND(Birds!BX28,"AAAAAH9vf58=")</f>
        <v>#VALUE!</v>
      </c>
      <c r="FE58" t="e">
        <f>AND(Birds!BY28,"AAAAAH9vf6A=")</f>
        <v>#VALUE!</v>
      </c>
      <c r="FF58" t="e">
        <f>AND(Birds!BZ28,"AAAAAH9vf6E=")</f>
        <v>#VALUE!</v>
      </c>
      <c r="FG58" t="e">
        <f>AND(Birds!CA28,"AAAAAH9vf6I=")</f>
        <v>#VALUE!</v>
      </c>
      <c r="FH58" t="e">
        <f>AND(Birds!CB28,"AAAAAH9vf6M=")</f>
        <v>#VALUE!</v>
      </c>
      <c r="FI58" t="e">
        <f>AND(Birds!CC28,"AAAAAH9vf6Q=")</f>
        <v>#VALUE!</v>
      </c>
      <c r="FJ58" t="e">
        <f>AND(Birds!CD28,"AAAAAH9vf6U=")</f>
        <v>#VALUE!</v>
      </c>
      <c r="FK58" t="e">
        <f>AND(Birds!CE28,"AAAAAH9vf6Y=")</f>
        <v>#VALUE!</v>
      </c>
      <c r="FL58" t="e">
        <f>AND(Birds!CF28,"AAAAAH9vf6c=")</f>
        <v>#VALUE!</v>
      </c>
      <c r="FM58" t="e">
        <f>AND(Birds!CG28,"AAAAAH9vf6g=")</f>
        <v>#VALUE!</v>
      </c>
      <c r="FN58" t="e">
        <f>AND(Birds!CH28,"AAAAAH9vf6k=")</f>
        <v>#VALUE!</v>
      </c>
      <c r="FO58" t="e">
        <f>AND(Birds!CI28,"AAAAAH9vf6o=")</f>
        <v>#VALUE!</v>
      </c>
      <c r="FP58" t="e">
        <f>AND(Birds!CJ28,"AAAAAH9vf6s=")</f>
        <v>#VALUE!</v>
      </c>
      <c r="FQ58" t="e">
        <f>AND(Birds!CK28,"AAAAAH9vf6w=")</f>
        <v>#VALUE!</v>
      </c>
      <c r="FR58" t="e">
        <f>AND(Birds!CL28,"AAAAAH9vf60=")</f>
        <v>#VALUE!</v>
      </c>
      <c r="FS58" t="e">
        <f>AND(Birds!CM28,"AAAAAH9vf64=")</f>
        <v>#VALUE!</v>
      </c>
      <c r="FT58" t="e">
        <f>AND(Birds!CN28,"AAAAAH9vf68=")</f>
        <v>#VALUE!</v>
      </c>
      <c r="FU58" t="e">
        <f>AND(Birds!CO28,"AAAAAH9vf7A=")</f>
        <v>#VALUE!</v>
      </c>
      <c r="FV58" t="e">
        <f>AND(Birds!CP28,"AAAAAH9vf7E=")</f>
        <v>#VALUE!</v>
      </c>
      <c r="FW58" t="e">
        <f>AND(Birds!CQ28,"AAAAAH9vf7I=")</f>
        <v>#VALUE!</v>
      </c>
      <c r="FX58" t="e">
        <f>AND(Birds!CR28,"AAAAAH9vf7M=")</f>
        <v>#VALUE!</v>
      </c>
      <c r="FY58" t="e">
        <f>AND(Birds!CS28,"AAAAAH9vf7Q=")</f>
        <v>#VALUE!</v>
      </c>
      <c r="FZ58" t="e">
        <f>AND(Birds!CT28,"AAAAAH9vf7U=")</f>
        <v>#VALUE!</v>
      </c>
      <c r="GA58" t="e">
        <f>AND(Birds!CU28,"AAAAAH9vf7Y=")</f>
        <v>#VALUE!</v>
      </c>
      <c r="GB58" t="e">
        <f>AND(Birds!CV28,"AAAAAH9vf7c=")</f>
        <v>#VALUE!</v>
      </c>
      <c r="GC58" t="e">
        <f>AND(Birds!CW28,"AAAAAH9vf7g=")</f>
        <v>#VALUE!</v>
      </c>
      <c r="GD58" t="e">
        <f>AND(Birds!CX28,"AAAAAH9vf7k=")</f>
        <v>#VALUE!</v>
      </c>
      <c r="GE58" t="e">
        <f>AND(Birds!CY28,"AAAAAH9vf7o=")</f>
        <v>#VALUE!</v>
      </c>
      <c r="GF58" t="e">
        <f>AND(Birds!CZ28,"AAAAAH9vf7s=")</f>
        <v>#VALUE!</v>
      </c>
      <c r="GG58" t="e">
        <f>AND(Birds!DA28,"AAAAAH9vf7w=")</f>
        <v>#VALUE!</v>
      </c>
      <c r="GH58" t="e">
        <f>AND(Birds!DB28,"AAAAAH9vf70=")</f>
        <v>#VALUE!</v>
      </c>
      <c r="GI58" t="e">
        <f>AND(Birds!DC28,"AAAAAH9vf74=")</f>
        <v>#VALUE!</v>
      </c>
      <c r="GJ58" t="e">
        <f>AND(Birds!DD28,"AAAAAH9vf78=")</f>
        <v>#VALUE!</v>
      </c>
      <c r="GK58" t="e">
        <f>AND(Birds!DE28,"AAAAAH9vf8A=")</f>
        <v>#VALUE!</v>
      </c>
      <c r="GL58" t="e">
        <f>AND(Birds!DF28,"AAAAAH9vf8E=")</f>
        <v>#VALUE!</v>
      </c>
      <c r="GM58" t="e">
        <f>AND(Birds!DG28,"AAAAAH9vf8I=")</f>
        <v>#VALUE!</v>
      </c>
      <c r="GN58" t="e">
        <f>AND(Birds!DH28,"AAAAAH9vf8M=")</f>
        <v>#VALUE!</v>
      </c>
      <c r="GO58" t="e">
        <f>AND(Birds!DI28,"AAAAAH9vf8Q=")</f>
        <v>#VALUE!</v>
      </c>
      <c r="GP58" t="e">
        <f>AND(Birds!DJ28,"AAAAAH9vf8U=")</f>
        <v>#VALUE!</v>
      </c>
      <c r="GQ58" t="e">
        <f>AND(Birds!DK28,"AAAAAH9vf8Y=")</f>
        <v>#VALUE!</v>
      </c>
      <c r="GR58" t="e">
        <f>AND(Birds!DL28,"AAAAAH9vf8c=")</f>
        <v>#VALUE!</v>
      </c>
      <c r="GS58" t="e">
        <f>AND(Birds!DM28,"AAAAAH9vf8g=")</f>
        <v>#VALUE!</v>
      </c>
      <c r="GT58" t="e">
        <f>AND(Birds!DN28,"AAAAAH9vf8k=")</f>
        <v>#VALUE!</v>
      </c>
      <c r="GU58" t="e">
        <f>AND(Birds!DO28,"AAAAAH9vf8o=")</f>
        <v>#VALUE!</v>
      </c>
      <c r="GV58" t="e">
        <f>AND(Birds!DP28,"AAAAAH9vf8s=")</f>
        <v>#VALUE!</v>
      </c>
      <c r="GW58" t="e">
        <f>AND(Birds!DQ28,"AAAAAH9vf8w=")</f>
        <v>#VALUE!</v>
      </c>
      <c r="GX58" t="e">
        <f>AND(Birds!DR28,"AAAAAH9vf80=")</f>
        <v>#VALUE!</v>
      </c>
      <c r="GY58" t="e">
        <f>AND(Birds!DS28,"AAAAAH9vf84=")</f>
        <v>#VALUE!</v>
      </c>
      <c r="GZ58" t="e">
        <f>AND(Birds!DT28,"AAAAAH9vf88=")</f>
        <v>#VALUE!</v>
      </c>
      <c r="HA58" t="e">
        <f>AND(Birds!DU28,"AAAAAH9vf9A=")</f>
        <v>#VALUE!</v>
      </c>
      <c r="HB58" t="e">
        <f>AND(Birds!DV28,"AAAAAH9vf9E=")</f>
        <v>#VALUE!</v>
      </c>
      <c r="HC58" t="e">
        <f>AND(Birds!DW28,"AAAAAH9vf9I=")</f>
        <v>#VALUE!</v>
      </c>
      <c r="HD58" t="e">
        <f>AND(Birds!DX28,"AAAAAH9vf9M=")</f>
        <v>#VALUE!</v>
      </c>
      <c r="HE58" t="e">
        <f>AND(Birds!DY28,"AAAAAH9vf9Q=")</f>
        <v>#VALUE!</v>
      </c>
      <c r="HF58" t="e">
        <f>AND(Birds!DZ28,"AAAAAH9vf9U=")</f>
        <v>#VALUE!</v>
      </c>
      <c r="HG58" t="e">
        <f>AND(Birds!EA28,"AAAAAH9vf9Y=")</f>
        <v>#VALUE!</v>
      </c>
      <c r="HH58" t="e">
        <f>AND(Birds!EB28,"AAAAAH9vf9c=")</f>
        <v>#VALUE!</v>
      </c>
      <c r="HI58" t="e">
        <f>AND(Birds!EC28,"AAAAAH9vf9g=")</f>
        <v>#VALUE!</v>
      </c>
      <c r="HJ58" t="e">
        <f>AND(Birds!ED28,"AAAAAH9vf9k=")</f>
        <v>#VALUE!</v>
      </c>
      <c r="HK58" t="e">
        <f>AND(Birds!EE28,"AAAAAH9vf9o=")</f>
        <v>#VALUE!</v>
      </c>
      <c r="HL58" t="e">
        <f>AND(Birds!EF28,"AAAAAH9vf9s=")</f>
        <v>#VALUE!</v>
      </c>
      <c r="HM58" t="e">
        <f>AND(Birds!EG28,"AAAAAH9vf9w=")</f>
        <v>#VALUE!</v>
      </c>
      <c r="HN58" t="e">
        <f>AND(Birds!EH28,"AAAAAH9vf90=")</f>
        <v>#VALUE!</v>
      </c>
      <c r="HO58" t="e">
        <f>AND(Birds!EI28,"AAAAAH9vf94=")</f>
        <v>#VALUE!</v>
      </c>
      <c r="HP58" t="e">
        <f>AND(Birds!EJ28,"AAAAAH9vf98=")</f>
        <v>#VALUE!</v>
      </c>
      <c r="HQ58" t="e">
        <f>AND(Birds!EK28,"AAAAAH9vf+A=")</f>
        <v>#VALUE!</v>
      </c>
      <c r="HR58" t="e">
        <f>AND(Birds!EL28,"AAAAAH9vf+E=")</f>
        <v>#VALUE!</v>
      </c>
      <c r="HS58" t="e">
        <f>AND(Birds!EM28,"AAAAAH9vf+I=")</f>
        <v>#VALUE!</v>
      </c>
      <c r="HT58" t="e">
        <f>AND(Birds!EN28,"AAAAAH9vf+M=")</f>
        <v>#VALUE!</v>
      </c>
      <c r="HU58" t="e">
        <f>AND(Birds!EO28,"AAAAAH9vf+Q=")</f>
        <v>#VALUE!</v>
      </c>
      <c r="HV58" t="e">
        <f>AND(Birds!EP28,"AAAAAH9vf+U=")</f>
        <v>#VALUE!</v>
      </c>
      <c r="HW58" t="e">
        <f>AND(Birds!EQ28,"AAAAAH9vf+Y=")</f>
        <v>#VALUE!</v>
      </c>
      <c r="HX58" t="e">
        <f>AND(Birds!ER28,"AAAAAH9vf+c=")</f>
        <v>#VALUE!</v>
      </c>
      <c r="HY58" t="e">
        <f>AND(Birds!ES28,"AAAAAH9vf+g=")</f>
        <v>#VALUE!</v>
      </c>
      <c r="HZ58" t="e">
        <f>AND(Birds!ET28,"AAAAAH9vf+k=")</f>
        <v>#VALUE!</v>
      </c>
      <c r="IA58" t="e">
        <f>AND(Birds!EU28,"AAAAAH9vf+o=")</f>
        <v>#VALUE!</v>
      </c>
      <c r="IB58" t="e">
        <f>AND(Birds!EV28,"AAAAAH9vf+s=")</f>
        <v>#VALUE!</v>
      </c>
      <c r="IC58" t="e">
        <f>AND(Birds!EW28,"AAAAAH9vf+w=")</f>
        <v>#VALUE!</v>
      </c>
      <c r="ID58" t="e">
        <f>AND(Birds!EX28,"AAAAAH9vf+0=")</f>
        <v>#VALUE!</v>
      </c>
      <c r="IE58" t="e">
        <f>AND(Birds!EY28,"AAAAAH9vf+4=")</f>
        <v>#VALUE!</v>
      </c>
      <c r="IF58" t="e">
        <f>AND(Birds!EZ28,"AAAAAH9vf+8=")</f>
        <v>#VALUE!</v>
      </c>
      <c r="IG58" t="e">
        <f>AND(Birds!FA28,"AAAAAH9vf/A=")</f>
        <v>#VALUE!</v>
      </c>
      <c r="IH58" t="e">
        <f>AND(Birds!FB28,"AAAAAH9vf/E=")</f>
        <v>#VALUE!</v>
      </c>
      <c r="II58" t="e">
        <f>AND(Birds!FC28,"AAAAAH9vf/I=")</f>
        <v>#VALUE!</v>
      </c>
      <c r="IJ58" t="e">
        <f>AND(Birds!FD28,"AAAAAH9vf/M=")</f>
        <v>#VALUE!</v>
      </c>
      <c r="IK58" t="e">
        <f>AND(Birds!FE28,"AAAAAH9vf/Q=")</f>
        <v>#VALUE!</v>
      </c>
      <c r="IL58" t="e">
        <f>AND(Birds!FF28,"AAAAAH9vf/U=")</f>
        <v>#VALUE!</v>
      </c>
      <c r="IM58" t="e">
        <f>AND(Birds!FG28,"AAAAAH9vf/Y=")</f>
        <v>#VALUE!</v>
      </c>
      <c r="IN58" t="e">
        <f>AND(Birds!FH28,"AAAAAH9vf/c=")</f>
        <v>#VALUE!</v>
      </c>
      <c r="IO58" t="e">
        <f>AND(Birds!FI28,"AAAAAH9vf/g=")</f>
        <v>#VALUE!</v>
      </c>
      <c r="IP58" t="e">
        <f>AND(Birds!FJ28,"AAAAAH9vf/k=")</f>
        <v>#VALUE!</v>
      </c>
      <c r="IQ58" t="e">
        <f>AND(Birds!FK28,"AAAAAH9vf/o=")</f>
        <v>#VALUE!</v>
      </c>
      <c r="IR58" t="e">
        <f>AND(Birds!FL28,"AAAAAH9vf/s=")</f>
        <v>#VALUE!</v>
      </c>
      <c r="IS58" t="e">
        <f>AND(Birds!FM28,"AAAAAH9vf/w=")</f>
        <v>#VALUE!</v>
      </c>
      <c r="IT58" t="e">
        <f>AND(Birds!FN28,"AAAAAH9vf/0=")</f>
        <v>#VALUE!</v>
      </c>
      <c r="IU58" t="e">
        <f>AND(Birds!FO28,"AAAAAH9vf/4=")</f>
        <v>#VALUE!</v>
      </c>
      <c r="IV58" t="e">
        <f>AND(Birds!FP28,"AAAAAH9vf/8=")</f>
        <v>#VALUE!</v>
      </c>
    </row>
    <row r="59" spans="1:256">
      <c r="A59" t="e">
        <f>AND(Birds!FQ28,"AAAAAHp8/gA=")</f>
        <v>#VALUE!</v>
      </c>
      <c r="B59" t="e">
        <f>AND(Birds!FR28,"AAAAAHp8/gE=")</f>
        <v>#VALUE!</v>
      </c>
      <c r="C59" t="e">
        <f>AND(Birds!FS28,"AAAAAHp8/gI=")</f>
        <v>#VALUE!</v>
      </c>
      <c r="D59" t="e">
        <f>AND(Birds!FT28,"AAAAAHp8/gM=")</f>
        <v>#VALUE!</v>
      </c>
      <c r="E59" t="e">
        <f>AND(Birds!FU28,"AAAAAHp8/gQ=")</f>
        <v>#VALUE!</v>
      </c>
      <c r="F59" t="e">
        <f>AND(Birds!FV28,"AAAAAHp8/gU=")</f>
        <v>#VALUE!</v>
      </c>
      <c r="G59" t="e">
        <f>AND(Birds!FW28,"AAAAAHp8/gY=")</f>
        <v>#VALUE!</v>
      </c>
      <c r="H59" t="e">
        <f>AND(Birds!FX28,"AAAAAHp8/gc=")</f>
        <v>#VALUE!</v>
      </c>
      <c r="I59" t="e">
        <f>AND(Birds!FY28,"AAAAAHp8/gg=")</f>
        <v>#VALUE!</v>
      </c>
      <c r="J59" t="e">
        <f>AND(Birds!FZ28,"AAAAAHp8/gk=")</f>
        <v>#VALUE!</v>
      </c>
      <c r="K59" t="e">
        <f>AND(Birds!GA28,"AAAAAHp8/go=")</f>
        <v>#VALUE!</v>
      </c>
      <c r="L59" t="e">
        <f>AND(Birds!GB28,"AAAAAHp8/gs=")</f>
        <v>#VALUE!</v>
      </c>
      <c r="M59" t="e">
        <f>AND(Birds!GC28,"AAAAAHp8/gw=")</f>
        <v>#VALUE!</v>
      </c>
      <c r="N59" t="e">
        <f>AND(Birds!GD28,"AAAAAHp8/g0=")</f>
        <v>#VALUE!</v>
      </c>
      <c r="O59" t="e">
        <f>AND(Birds!GE28,"AAAAAHp8/g4=")</f>
        <v>#VALUE!</v>
      </c>
      <c r="P59" t="e">
        <f>AND(Birds!GF28,"AAAAAHp8/g8=")</f>
        <v>#VALUE!</v>
      </c>
      <c r="Q59" t="e">
        <f>AND(Birds!GG28,"AAAAAHp8/hA=")</f>
        <v>#VALUE!</v>
      </c>
      <c r="R59" t="e">
        <f>AND(Birds!GH28,"AAAAAHp8/hE=")</f>
        <v>#VALUE!</v>
      </c>
      <c r="S59" t="e">
        <f>AND(Birds!GI28,"AAAAAHp8/hI=")</f>
        <v>#VALUE!</v>
      </c>
      <c r="T59" t="e">
        <f>AND(Birds!GJ28,"AAAAAHp8/hM=")</f>
        <v>#VALUE!</v>
      </c>
      <c r="U59" t="e">
        <f>AND(Birds!GK28,"AAAAAHp8/hQ=")</f>
        <v>#VALUE!</v>
      </c>
      <c r="V59" t="e">
        <f>AND(Birds!GL28,"AAAAAHp8/hU=")</f>
        <v>#VALUE!</v>
      </c>
      <c r="W59" t="e">
        <f>AND(Birds!GM28,"AAAAAHp8/hY=")</f>
        <v>#VALUE!</v>
      </c>
      <c r="X59">
        <f>IF(Birds!29:29,"AAAAAHp8/hc=",0)</f>
        <v>0</v>
      </c>
      <c r="Y59" t="e">
        <f>AND(Birds!A29,"AAAAAHp8/hg=")</f>
        <v>#VALUE!</v>
      </c>
      <c r="Z59" t="e">
        <f>AND(Birds!B29,"AAAAAHp8/hk=")</f>
        <v>#VALUE!</v>
      </c>
      <c r="AA59" t="e">
        <f>AND(Birds!C29,"AAAAAHp8/ho=")</f>
        <v>#VALUE!</v>
      </c>
      <c r="AB59" t="e">
        <f>AND(Birds!D29,"AAAAAHp8/hs=")</f>
        <v>#VALUE!</v>
      </c>
      <c r="AC59" t="e">
        <f>AND(Birds!E29,"AAAAAHp8/hw=")</f>
        <v>#VALUE!</v>
      </c>
      <c r="AD59" t="e">
        <f>AND(Birds!F29,"AAAAAHp8/h0=")</f>
        <v>#VALUE!</v>
      </c>
      <c r="AE59" t="e">
        <f>AND(Birds!G29,"AAAAAHp8/h4=")</f>
        <v>#VALUE!</v>
      </c>
      <c r="AF59" t="e">
        <f>AND(Birds!H29,"AAAAAHp8/h8=")</f>
        <v>#VALUE!</v>
      </c>
      <c r="AG59" t="e">
        <f>AND(Birds!I29,"AAAAAHp8/iA=")</f>
        <v>#VALUE!</v>
      </c>
      <c r="AH59" t="e">
        <f>AND(Birds!J29,"AAAAAHp8/iE=")</f>
        <v>#VALUE!</v>
      </c>
      <c r="AI59" t="e">
        <f>AND(Birds!K29,"AAAAAHp8/iI=")</f>
        <v>#VALUE!</v>
      </c>
      <c r="AJ59" t="e">
        <f>AND(Birds!L29,"AAAAAHp8/iM=")</f>
        <v>#VALUE!</v>
      </c>
      <c r="AK59" t="e">
        <f>AND(Birds!M29,"AAAAAHp8/iQ=")</f>
        <v>#VALUE!</v>
      </c>
      <c r="AL59" t="e">
        <f>AND(Birds!N29,"AAAAAHp8/iU=")</f>
        <v>#VALUE!</v>
      </c>
      <c r="AM59" t="e">
        <f>AND(Birds!O29,"AAAAAHp8/iY=")</f>
        <v>#VALUE!</v>
      </c>
      <c r="AN59" t="e">
        <f>AND(Birds!P29,"AAAAAHp8/ic=")</f>
        <v>#VALUE!</v>
      </c>
      <c r="AO59" t="e">
        <f>AND(Birds!Q29,"AAAAAHp8/ig=")</f>
        <v>#VALUE!</v>
      </c>
      <c r="AP59" t="e">
        <f>AND(Birds!R29,"AAAAAHp8/ik=")</f>
        <v>#VALUE!</v>
      </c>
      <c r="AQ59" t="e">
        <f>AND(Birds!S29,"AAAAAHp8/io=")</f>
        <v>#VALUE!</v>
      </c>
      <c r="AR59" t="e">
        <f>AND(Birds!T29,"AAAAAHp8/is=")</f>
        <v>#VALUE!</v>
      </c>
      <c r="AS59" t="e">
        <f>AND(Birds!U29,"AAAAAHp8/iw=")</f>
        <v>#VALUE!</v>
      </c>
      <c r="AT59" t="e">
        <f>AND(Birds!V29,"AAAAAHp8/i0=")</f>
        <v>#VALUE!</v>
      </c>
      <c r="AU59" t="e">
        <f>AND(Birds!W29,"AAAAAHp8/i4=")</f>
        <v>#VALUE!</v>
      </c>
      <c r="AV59" t="e">
        <f>AND(Birds!X29,"AAAAAHp8/i8=")</f>
        <v>#VALUE!</v>
      </c>
      <c r="AW59" t="e">
        <f>AND(Birds!Y29,"AAAAAHp8/jA=")</f>
        <v>#VALUE!</v>
      </c>
      <c r="AX59" t="e">
        <f>AND(Birds!Z29,"AAAAAHp8/jE=")</f>
        <v>#VALUE!</v>
      </c>
      <c r="AY59" t="e">
        <f>AND(Birds!AA29,"AAAAAHp8/jI=")</f>
        <v>#VALUE!</v>
      </c>
      <c r="AZ59" t="e">
        <f>AND(Birds!AB29,"AAAAAHp8/jM=")</f>
        <v>#VALUE!</v>
      </c>
      <c r="BA59" t="e">
        <f>AND(Birds!AC29,"AAAAAHp8/jQ=")</f>
        <v>#VALUE!</v>
      </c>
      <c r="BB59" t="e">
        <f>AND(Birds!AD29,"AAAAAHp8/jU=")</f>
        <v>#VALUE!</v>
      </c>
      <c r="BC59" t="e">
        <f>AND(Birds!AE29,"AAAAAHp8/jY=")</f>
        <v>#VALUE!</v>
      </c>
      <c r="BD59" t="e">
        <f>AND(Birds!AF29,"AAAAAHp8/jc=")</f>
        <v>#VALUE!</v>
      </c>
      <c r="BE59" t="e">
        <f>AND(Birds!AG29,"AAAAAHp8/jg=")</f>
        <v>#VALUE!</v>
      </c>
      <c r="BF59" t="e">
        <f>AND(Birds!AH29,"AAAAAHp8/jk=")</f>
        <v>#VALUE!</v>
      </c>
      <c r="BG59" t="e">
        <f>AND(Birds!AI29,"AAAAAHp8/jo=")</f>
        <v>#VALUE!</v>
      </c>
      <c r="BH59" t="e">
        <f>AND(Birds!AJ29,"AAAAAHp8/js=")</f>
        <v>#VALUE!</v>
      </c>
      <c r="BI59" t="e">
        <f>AND(Birds!AK29,"AAAAAHp8/jw=")</f>
        <v>#VALUE!</v>
      </c>
      <c r="BJ59" t="e">
        <f>AND(Birds!AL29,"AAAAAHp8/j0=")</f>
        <v>#VALUE!</v>
      </c>
      <c r="BK59" t="e">
        <f>AND(Birds!AM29,"AAAAAHp8/j4=")</f>
        <v>#VALUE!</v>
      </c>
      <c r="BL59" t="e">
        <f>AND(Birds!AN29,"AAAAAHp8/j8=")</f>
        <v>#VALUE!</v>
      </c>
      <c r="BM59" t="e">
        <f>AND(Birds!AO29,"AAAAAHp8/kA=")</f>
        <v>#VALUE!</v>
      </c>
      <c r="BN59" t="e">
        <f>AND(Birds!AP29,"AAAAAHp8/kE=")</f>
        <v>#VALUE!</v>
      </c>
      <c r="BO59" t="e">
        <f>AND(Birds!AQ29,"AAAAAHp8/kI=")</f>
        <v>#VALUE!</v>
      </c>
      <c r="BP59" t="e">
        <f>AND(Birds!AR29,"AAAAAHp8/kM=")</f>
        <v>#VALUE!</v>
      </c>
      <c r="BQ59" t="e">
        <f>AND(Birds!AS29,"AAAAAHp8/kQ=")</f>
        <v>#VALUE!</v>
      </c>
      <c r="BR59" t="e">
        <f>AND(Birds!AT29,"AAAAAHp8/kU=")</f>
        <v>#VALUE!</v>
      </c>
      <c r="BS59" t="e">
        <f>AND(Birds!AU29,"AAAAAHp8/kY=")</f>
        <v>#VALUE!</v>
      </c>
      <c r="BT59" t="e">
        <f>AND(Birds!AV29,"AAAAAHp8/kc=")</f>
        <v>#VALUE!</v>
      </c>
      <c r="BU59" t="e">
        <f>AND(Birds!AW29,"AAAAAHp8/kg=")</f>
        <v>#VALUE!</v>
      </c>
      <c r="BV59" t="e">
        <f>AND(Birds!AX29,"AAAAAHp8/kk=")</f>
        <v>#VALUE!</v>
      </c>
      <c r="BW59" t="e">
        <f>AND(Birds!AY29,"AAAAAHp8/ko=")</f>
        <v>#VALUE!</v>
      </c>
      <c r="BX59" t="e">
        <f>AND(Birds!AZ29,"AAAAAHp8/ks=")</f>
        <v>#VALUE!</v>
      </c>
      <c r="BY59" t="e">
        <f>AND(Birds!BA29,"AAAAAHp8/kw=")</f>
        <v>#VALUE!</v>
      </c>
      <c r="BZ59" t="e">
        <f>AND(Birds!BB29,"AAAAAHp8/k0=")</f>
        <v>#VALUE!</v>
      </c>
      <c r="CA59" t="e">
        <f>AND(Birds!BC29,"AAAAAHp8/k4=")</f>
        <v>#VALUE!</v>
      </c>
      <c r="CB59" t="e">
        <f>AND(Birds!BD29,"AAAAAHp8/k8=")</f>
        <v>#VALUE!</v>
      </c>
      <c r="CC59" t="e">
        <f>AND(Birds!BE29,"AAAAAHp8/lA=")</f>
        <v>#VALUE!</v>
      </c>
      <c r="CD59" t="e">
        <f>AND(Birds!BF29,"AAAAAHp8/lE=")</f>
        <v>#VALUE!</v>
      </c>
      <c r="CE59" t="e">
        <f>AND(Birds!BG29,"AAAAAHp8/lI=")</f>
        <v>#VALUE!</v>
      </c>
      <c r="CF59" t="e">
        <f>AND(Birds!BH29,"AAAAAHp8/lM=")</f>
        <v>#VALUE!</v>
      </c>
      <c r="CG59" t="e">
        <f>AND(Birds!BI29,"AAAAAHp8/lQ=")</f>
        <v>#VALUE!</v>
      </c>
      <c r="CH59" t="e">
        <f>AND(Birds!BJ29,"AAAAAHp8/lU=")</f>
        <v>#VALUE!</v>
      </c>
      <c r="CI59" t="e">
        <f>AND(Birds!BK29,"AAAAAHp8/lY=")</f>
        <v>#VALUE!</v>
      </c>
      <c r="CJ59" t="e">
        <f>AND(Birds!BL29,"AAAAAHp8/lc=")</f>
        <v>#VALUE!</v>
      </c>
      <c r="CK59" t="e">
        <f>AND(Birds!BM29,"AAAAAHp8/lg=")</f>
        <v>#VALUE!</v>
      </c>
      <c r="CL59" t="e">
        <f>AND(Birds!BN29,"AAAAAHp8/lk=")</f>
        <v>#VALUE!</v>
      </c>
      <c r="CM59" t="e">
        <f>AND(Birds!BO29,"AAAAAHp8/lo=")</f>
        <v>#VALUE!</v>
      </c>
      <c r="CN59" t="e">
        <f>AND(Birds!BP29,"AAAAAHp8/ls=")</f>
        <v>#VALUE!</v>
      </c>
      <c r="CO59" t="e">
        <f>AND(Birds!BQ29,"AAAAAHp8/lw=")</f>
        <v>#VALUE!</v>
      </c>
      <c r="CP59" t="e">
        <f>AND(Birds!BR29,"AAAAAHp8/l0=")</f>
        <v>#VALUE!</v>
      </c>
      <c r="CQ59" t="e">
        <f>AND(Birds!BS29,"AAAAAHp8/l4=")</f>
        <v>#VALUE!</v>
      </c>
      <c r="CR59" t="e">
        <f>AND(Birds!BT29,"AAAAAHp8/l8=")</f>
        <v>#VALUE!</v>
      </c>
      <c r="CS59" t="e">
        <f>AND(Birds!BU29,"AAAAAHp8/mA=")</f>
        <v>#VALUE!</v>
      </c>
      <c r="CT59" t="e">
        <f>AND(Birds!BV29,"AAAAAHp8/mE=")</f>
        <v>#VALUE!</v>
      </c>
      <c r="CU59" t="e">
        <f>AND(Birds!BW29,"AAAAAHp8/mI=")</f>
        <v>#VALUE!</v>
      </c>
      <c r="CV59" t="e">
        <f>AND(Birds!BX29,"AAAAAHp8/mM=")</f>
        <v>#VALUE!</v>
      </c>
      <c r="CW59" t="e">
        <f>AND(Birds!BY29,"AAAAAHp8/mQ=")</f>
        <v>#VALUE!</v>
      </c>
      <c r="CX59" t="e">
        <f>AND(Birds!BZ29,"AAAAAHp8/mU=")</f>
        <v>#VALUE!</v>
      </c>
      <c r="CY59" t="e">
        <f>AND(Birds!CA29,"AAAAAHp8/mY=")</f>
        <v>#VALUE!</v>
      </c>
      <c r="CZ59" t="e">
        <f>AND(Birds!CB29,"AAAAAHp8/mc=")</f>
        <v>#VALUE!</v>
      </c>
      <c r="DA59" t="e">
        <f>AND(Birds!CC29,"AAAAAHp8/mg=")</f>
        <v>#VALUE!</v>
      </c>
      <c r="DB59" t="e">
        <f>AND(Birds!CD29,"AAAAAHp8/mk=")</f>
        <v>#VALUE!</v>
      </c>
      <c r="DC59" t="e">
        <f>AND(Birds!CE29,"AAAAAHp8/mo=")</f>
        <v>#VALUE!</v>
      </c>
      <c r="DD59" t="e">
        <f>AND(Birds!CF29,"AAAAAHp8/ms=")</f>
        <v>#VALUE!</v>
      </c>
      <c r="DE59" t="e">
        <f>AND(Birds!CG29,"AAAAAHp8/mw=")</f>
        <v>#VALUE!</v>
      </c>
      <c r="DF59" t="e">
        <f>AND(Birds!CH29,"AAAAAHp8/m0=")</f>
        <v>#VALUE!</v>
      </c>
      <c r="DG59" t="e">
        <f>AND(Birds!CI29,"AAAAAHp8/m4=")</f>
        <v>#VALUE!</v>
      </c>
      <c r="DH59" t="e">
        <f>AND(Birds!CJ29,"AAAAAHp8/m8=")</f>
        <v>#VALUE!</v>
      </c>
      <c r="DI59" t="e">
        <f>AND(Birds!CK29,"AAAAAHp8/nA=")</f>
        <v>#VALUE!</v>
      </c>
      <c r="DJ59" t="e">
        <f>AND(Birds!CL29,"AAAAAHp8/nE=")</f>
        <v>#VALUE!</v>
      </c>
      <c r="DK59" t="e">
        <f>AND(Birds!CM29,"AAAAAHp8/nI=")</f>
        <v>#VALUE!</v>
      </c>
      <c r="DL59" t="e">
        <f>AND(Birds!CN29,"AAAAAHp8/nM=")</f>
        <v>#VALUE!</v>
      </c>
      <c r="DM59" t="e">
        <f>AND(Birds!CO29,"AAAAAHp8/nQ=")</f>
        <v>#VALUE!</v>
      </c>
      <c r="DN59" t="e">
        <f>AND(Birds!CP29,"AAAAAHp8/nU=")</f>
        <v>#VALUE!</v>
      </c>
      <c r="DO59" t="e">
        <f>AND(Birds!CQ29,"AAAAAHp8/nY=")</f>
        <v>#VALUE!</v>
      </c>
      <c r="DP59" t="e">
        <f>AND(Birds!CR29,"AAAAAHp8/nc=")</f>
        <v>#VALUE!</v>
      </c>
      <c r="DQ59" t="e">
        <f>AND(Birds!CS29,"AAAAAHp8/ng=")</f>
        <v>#VALUE!</v>
      </c>
      <c r="DR59" t="e">
        <f>AND(Birds!CT29,"AAAAAHp8/nk=")</f>
        <v>#VALUE!</v>
      </c>
      <c r="DS59" t="e">
        <f>AND(Birds!CU29,"AAAAAHp8/no=")</f>
        <v>#VALUE!</v>
      </c>
      <c r="DT59" t="e">
        <f>AND(Birds!CV29,"AAAAAHp8/ns=")</f>
        <v>#VALUE!</v>
      </c>
      <c r="DU59" t="e">
        <f>AND(Birds!CW29,"AAAAAHp8/nw=")</f>
        <v>#VALUE!</v>
      </c>
      <c r="DV59" t="e">
        <f>AND(Birds!CX29,"AAAAAHp8/n0=")</f>
        <v>#VALUE!</v>
      </c>
      <c r="DW59" t="e">
        <f>AND(Birds!CY29,"AAAAAHp8/n4=")</f>
        <v>#VALUE!</v>
      </c>
      <c r="DX59" t="e">
        <f>AND(Birds!CZ29,"AAAAAHp8/n8=")</f>
        <v>#VALUE!</v>
      </c>
      <c r="DY59" t="e">
        <f>AND(Birds!DA29,"AAAAAHp8/oA=")</f>
        <v>#VALUE!</v>
      </c>
      <c r="DZ59" t="e">
        <f>AND(Birds!DB29,"AAAAAHp8/oE=")</f>
        <v>#VALUE!</v>
      </c>
      <c r="EA59" t="e">
        <f>AND(Birds!DC29,"AAAAAHp8/oI=")</f>
        <v>#VALUE!</v>
      </c>
      <c r="EB59" t="e">
        <f>AND(Birds!DD29,"AAAAAHp8/oM=")</f>
        <v>#VALUE!</v>
      </c>
      <c r="EC59" t="e">
        <f>AND(Birds!DE29,"AAAAAHp8/oQ=")</f>
        <v>#VALUE!</v>
      </c>
      <c r="ED59" t="e">
        <f>AND(Birds!DF29,"AAAAAHp8/oU=")</f>
        <v>#VALUE!</v>
      </c>
      <c r="EE59" t="e">
        <f>AND(Birds!DG29,"AAAAAHp8/oY=")</f>
        <v>#VALUE!</v>
      </c>
      <c r="EF59" t="e">
        <f>AND(Birds!DH29,"AAAAAHp8/oc=")</f>
        <v>#VALUE!</v>
      </c>
      <c r="EG59" t="e">
        <f>AND(Birds!DI29,"AAAAAHp8/og=")</f>
        <v>#VALUE!</v>
      </c>
      <c r="EH59" t="e">
        <f>AND(Birds!DJ29,"AAAAAHp8/ok=")</f>
        <v>#VALUE!</v>
      </c>
      <c r="EI59" t="e">
        <f>AND(Birds!DK29,"AAAAAHp8/oo=")</f>
        <v>#VALUE!</v>
      </c>
      <c r="EJ59" t="e">
        <f>AND(Birds!DL29,"AAAAAHp8/os=")</f>
        <v>#VALUE!</v>
      </c>
      <c r="EK59" t="e">
        <f>AND(Birds!DM29,"AAAAAHp8/ow=")</f>
        <v>#VALUE!</v>
      </c>
      <c r="EL59" t="e">
        <f>AND(Birds!DN29,"AAAAAHp8/o0=")</f>
        <v>#VALUE!</v>
      </c>
      <c r="EM59" t="e">
        <f>AND(Birds!DO29,"AAAAAHp8/o4=")</f>
        <v>#VALUE!</v>
      </c>
      <c r="EN59" t="e">
        <f>AND(Birds!DP29,"AAAAAHp8/o8=")</f>
        <v>#VALUE!</v>
      </c>
      <c r="EO59" t="e">
        <f>AND(Birds!DQ29,"AAAAAHp8/pA=")</f>
        <v>#VALUE!</v>
      </c>
      <c r="EP59" t="e">
        <f>AND(Birds!DR29,"AAAAAHp8/pE=")</f>
        <v>#VALUE!</v>
      </c>
      <c r="EQ59" t="e">
        <f>AND(Birds!DS29,"AAAAAHp8/pI=")</f>
        <v>#VALUE!</v>
      </c>
      <c r="ER59" t="e">
        <f>AND(Birds!DT29,"AAAAAHp8/pM=")</f>
        <v>#VALUE!</v>
      </c>
      <c r="ES59" t="e">
        <f>AND(Birds!DU29,"AAAAAHp8/pQ=")</f>
        <v>#VALUE!</v>
      </c>
      <c r="ET59" t="e">
        <f>AND(Birds!DV29,"AAAAAHp8/pU=")</f>
        <v>#VALUE!</v>
      </c>
      <c r="EU59" t="e">
        <f>AND(Birds!DW29,"AAAAAHp8/pY=")</f>
        <v>#VALUE!</v>
      </c>
      <c r="EV59" t="e">
        <f>AND(Birds!DX29,"AAAAAHp8/pc=")</f>
        <v>#VALUE!</v>
      </c>
      <c r="EW59" t="e">
        <f>AND(Birds!DY29,"AAAAAHp8/pg=")</f>
        <v>#VALUE!</v>
      </c>
      <c r="EX59" t="e">
        <f>AND(Birds!DZ29,"AAAAAHp8/pk=")</f>
        <v>#VALUE!</v>
      </c>
      <c r="EY59" t="e">
        <f>AND(Birds!EA29,"AAAAAHp8/po=")</f>
        <v>#VALUE!</v>
      </c>
      <c r="EZ59" t="e">
        <f>AND(Birds!EB29,"AAAAAHp8/ps=")</f>
        <v>#VALUE!</v>
      </c>
      <c r="FA59" t="e">
        <f>AND(Birds!EC29,"AAAAAHp8/pw=")</f>
        <v>#VALUE!</v>
      </c>
      <c r="FB59" t="e">
        <f>AND(Birds!ED29,"AAAAAHp8/p0=")</f>
        <v>#VALUE!</v>
      </c>
      <c r="FC59" t="e">
        <f>AND(Birds!EE29,"AAAAAHp8/p4=")</f>
        <v>#VALUE!</v>
      </c>
      <c r="FD59" t="e">
        <f>AND(Birds!EF29,"AAAAAHp8/p8=")</f>
        <v>#VALUE!</v>
      </c>
      <c r="FE59" t="e">
        <f>AND(Birds!EG29,"AAAAAHp8/qA=")</f>
        <v>#VALUE!</v>
      </c>
      <c r="FF59" t="e">
        <f>AND(Birds!EH29,"AAAAAHp8/qE=")</f>
        <v>#VALUE!</v>
      </c>
      <c r="FG59" t="e">
        <f>AND(Birds!EI29,"AAAAAHp8/qI=")</f>
        <v>#VALUE!</v>
      </c>
      <c r="FH59" t="e">
        <f>AND(Birds!EJ29,"AAAAAHp8/qM=")</f>
        <v>#VALUE!</v>
      </c>
      <c r="FI59" t="e">
        <f>AND(Birds!EK29,"AAAAAHp8/qQ=")</f>
        <v>#VALUE!</v>
      </c>
      <c r="FJ59" t="e">
        <f>AND(Birds!EL29,"AAAAAHp8/qU=")</f>
        <v>#VALUE!</v>
      </c>
      <c r="FK59" t="e">
        <f>AND(Birds!EM29,"AAAAAHp8/qY=")</f>
        <v>#VALUE!</v>
      </c>
      <c r="FL59" t="e">
        <f>AND(Birds!EN29,"AAAAAHp8/qc=")</f>
        <v>#VALUE!</v>
      </c>
      <c r="FM59" t="e">
        <f>AND(Birds!EO29,"AAAAAHp8/qg=")</f>
        <v>#VALUE!</v>
      </c>
      <c r="FN59" t="e">
        <f>AND(Birds!EP29,"AAAAAHp8/qk=")</f>
        <v>#VALUE!</v>
      </c>
      <c r="FO59" t="e">
        <f>AND(Birds!EQ29,"AAAAAHp8/qo=")</f>
        <v>#VALUE!</v>
      </c>
      <c r="FP59" t="e">
        <f>AND(Birds!ER29,"AAAAAHp8/qs=")</f>
        <v>#VALUE!</v>
      </c>
      <c r="FQ59" t="e">
        <f>AND(Birds!ES29,"AAAAAHp8/qw=")</f>
        <v>#VALUE!</v>
      </c>
      <c r="FR59" t="e">
        <f>AND(Birds!ET29,"AAAAAHp8/q0=")</f>
        <v>#VALUE!</v>
      </c>
      <c r="FS59" t="e">
        <f>AND(Birds!EU29,"AAAAAHp8/q4=")</f>
        <v>#VALUE!</v>
      </c>
      <c r="FT59" t="e">
        <f>AND(Birds!EV29,"AAAAAHp8/q8=")</f>
        <v>#VALUE!</v>
      </c>
      <c r="FU59" t="e">
        <f>AND(Birds!EW29,"AAAAAHp8/rA=")</f>
        <v>#VALUE!</v>
      </c>
      <c r="FV59" t="e">
        <f>AND(Birds!EX29,"AAAAAHp8/rE=")</f>
        <v>#VALUE!</v>
      </c>
      <c r="FW59" t="e">
        <f>AND(Birds!EY29,"AAAAAHp8/rI=")</f>
        <v>#VALUE!</v>
      </c>
      <c r="FX59" t="e">
        <f>AND(Birds!EZ29,"AAAAAHp8/rM=")</f>
        <v>#VALUE!</v>
      </c>
      <c r="FY59" t="e">
        <f>AND(Birds!FA29,"AAAAAHp8/rQ=")</f>
        <v>#VALUE!</v>
      </c>
      <c r="FZ59" t="e">
        <f>AND(Birds!FB29,"AAAAAHp8/rU=")</f>
        <v>#VALUE!</v>
      </c>
      <c r="GA59" t="e">
        <f>AND(Birds!FC29,"AAAAAHp8/rY=")</f>
        <v>#VALUE!</v>
      </c>
      <c r="GB59" t="e">
        <f>AND(Birds!FD29,"AAAAAHp8/rc=")</f>
        <v>#VALUE!</v>
      </c>
      <c r="GC59" t="e">
        <f>AND(Birds!FE29,"AAAAAHp8/rg=")</f>
        <v>#VALUE!</v>
      </c>
      <c r="GD59" t="e">
        <f>AND(Birds!FF29,"AAAAAHp8/rk=")</f>
        <v>#VALUE!</v>
      </c>
      <c r="GE59" t="e">
        <f>AND(Birds!FG29,"AAAAAHp8/ro=")</f>
        <v>#VALUE!</v>
      </c>
      <c r="GF59" t="e">
        <f>AND(Birds!FH29,"AAAAAHp8/rs=")</f>
        <v>#VALUE!</v>
      </c>
      <c r="GG59" t="e">
        <f>AND(Birds!FI29,"AAAAAHp8/rw=")</f>
        <v>#VALUE!</v>
      </c>
      <c r="GH59" t="e">
        <f>AND(Birds!FJ29,"AAAAAHp8/r0=")</f>
        <v>#VALUE!</v>
      </c>
      <c r="GI59" t="e">
        <f>AND(Birds!FK29,"AAAAAHp8/r4=")</f>
        <v>#VALUE!</v>
      </c>
      <c r="GJ59" t="e">
        <f>AND(Birds!FL29,"AAAAAHp8/r8=")</f>
        <v>#VALUE!</v>
      </c>
      <c r="GK59" t="e">
        <f>AND(Birds!FM29,"AAAAAHp8/sA=")</f>
        <v>#VALUE!</v>
      </c>
      <c r="GL59" t="e">
        <f>AND(Birds!FN29,"AAAAAHp8/sE=")</f>
        <v>#VALUE!</v>
      </c>
      <c r="GM59" t="e">
        <f>AND(Birds!FO29,"AAAAAHp8/sI=")</f>
        <v>#VALUE!</v>
      </c>
      <c r="GN59" t="e">
        <f>AND(Birds!FP29,"AAAAAHp8/sM=")</f>
        <v>#VALUE!</v>
      </c>
      <c r="GO59" t="e">
        <f>AND(Birds!FQ29,"AAAAAHp8/sQ=")</f>
        <v>#VALUE!</v>
      </c>
      <c r="GP59" t="e">
        <f>AND(Birds!FR29,"AAAAAHp8/sU=")</f>
        <v>#VALUE!</v>
      </c>
      <c r="GQ59" t="e">
        <f>AND(Birds!FS29,"AAAAAHp8/sY=")</f>
        <v>#VALUE!</v>
      </c>
      <c r="GR59" t="e">
        <f>AND(Birds!FT29,"AAAAAHp8/sc=")</f>
        <v>#VALUE!</v>
      </c>
      <c r="GS59" t="e">
        <f>AND(Birds!FU29,"AAAAAHp8/sg=")</f>
        <v>#VALUE!</v>
      </c>
      <c r="GT59" t="e">
        <f>AND(Birds!FV29,"AAAAAHp8/sk=")</f>
        <v>#VALUE!</v>
      </c>
      <c r="GU59" t="e">
        <f>AND(Birds!FW29,"AAAAAHp8/so=")</f>
        <v>#VALUE!</v>
      </c>
      <c r="GV59" t="e">
        <f>AND(Birds!FX29,"AAAAAHp8/ss=")</f>
        <v>#VALUE!</v>
      </c>
      <c r="GW59" t="e">
        <f>AND(Birds!FY29,"AAAAAHp8/sw=")</f>
        <v>#VALUE!</v>
      </c>
      <c r="GX59" t="e">
        <f>AND(Birds!FZ29,"AAAAAHp8/s0=")</f>
        <v>#VALUE!</v>
      </c>
      <c r="GY59" t="e">
        <f>AND(Birds!GA29,"AAAAAHp8/s4=")</f>
        <v>#VALUE!</v>
      </c>
      <c r="GZ59" t="e">
        <f>AND(Birds!GB29,"AAAAAHp8/s8=")</f>
        <v>#VALUE!</v>
      </c>
      <c r="HA59" t="e">
        <f>AND(Birds!GC29,"AAAAAHp8/tA=")</f>
        <v>#VALUE!</v>
      </c>
      <c r="HB59" t="e">
        <f>AND(Birds!GD29,"AAAAAHp8/tE=")</f>
        <v>#VALUE!</v>
      </c>
      <c r="HC59" t="e">
        <f>AND(Birds!GE29,"AAAAAHp8/tI=")</f>
        <v>#VALUE!</v>
      </c>
      <c r="HD59" t="e">
        <f>AND(Birds!GF29,"AAAAAHp8/tM=")</f>
        <v>#VALUE!</v>
      </c>
      <c r="HE59" t="e">
        <f>AND(Birds!GG29,"AAAAAHp8/tQ=")</f>
        <v>#VALUE!</v>
      </c>
      <c r="HF59" t="e">
        <f>AND(Birds!GH29,"AAAAAHp8/tU=")</f>
        <v>#VALUE!</v>
      </c>
      <c r="HG59" t="e">
        <f>AND(Birds!GI29,"AAAAAHp8/tY=")</f>
        <v>#VALUE!</v>
      </c>
      <c r="HH59" t="e">
        <f>AND(Birds!GJ29,"AAAAAHp8/tc=")</f>
        <v>#VALUE!</v>
      </c>
      <c r="HI59" t="e">
        <f>AND(Birds!GK29,"AAAAAHp8/tg=")</f>
        <v>#VALUE!</v>
      </c>
      <c r="HJ59" t="e">
        <f>AND(Birds!GL29,"AAAAAHp8/tk=")</f>
        <v>#VALUE!</v>
      </c>
      <c r="HK59" t="e">
        <f>AND(Birds!GM29,"AAAAAHp8/to=")</f>
        <v>#VALUE!</v>
      </c>
      <c r="HL59">
        <f>IF(Birds!30:30,"AAAAAHp8/ts=",0)</f>
        <v>0</v>
      </c>
      <c r="HM59" t="e">
        <f>AND(Birds!A30,"AAAAAHp8/tw=")</f>
        <v>#VALUE!</v>
      </c>
      <c r="HN59" t="e">
        <f>AND(Birds!B30,"AAAAAHp8/t0=")</f>
        <v>#VALUE!</v>
      </c>
      <c r="HO59" t="e">
        <f>AND(Birds!C30,"AAAAAHp8/t4=")</f>
        <v>#VALUE!</v>
      </c>
      <c r="HP59" t="e">
        <f>AND(Birds!D30,"AAAAAHp8/t8=")</f>
        <v>#VALUE!</v>
      </c>
      <c r="HQ59" t="e">
        <f>AND(Birds!E30,"AAAAAHp8/uA=")</f>
        <v>#VALUE!</v>
      </c>
      <c r="HR59" t="e">
        <f>AND(Birds!F30,"AAAAAHp8/uE=")</f>
        <v>#VALUE!</v>
      </c>
      <c r="HS59" t="e">
        <f>AND(Birds!G30,"AAAAAHp8/uI=")</f>
        <v>#VALUE!</v>
      </c>
      <c r="HT59" t="e">
        <f>AND(Birds!H30,"AAAAAHp8/uM=")</f>
        <v>#VALUE!</v>
      </c>
      <c r="HU59" t="e">
        <f>AND(Birds!I30,"AAAAAHp8/uQ=")</f>
        <v>#VALUE!</v>
      </c>
      <c r="HV59" t="e">
        <f>AND(Birds!J30,"AAAAAHp8/uU=")</f>
        <v>#VALUE!</v>
      </c>
      <c r="HW59" t="e">
        <f>AND(Birds!K30,"AAAAAHp8/uY=")</f>
        <v>#VALUE!</v>
      </c>
      <c r="HX59" t="e">
        <f>AND(Birds!L30,"AAAAAHp8/uc=")</f>
        <v>#VALUE!</v>
      </c>
      <c r="HY59" t="e">
        <f>AND(Birds!M30,"AAAAAHp8/ug=")</f>
        <v>#VALUE!</v>
      </c>
      <c r="HZ59" t="e">
        <f>AND(Birds!N30,"AAAAAHp8/uk=")</f>
        <v>#VALUE!</v>
      </c>
      <c r="IA59" t="e">
        <f>AND(Birds!O30,"AAAAAHp8/uo=")</f>
        <v>#VALUE!</v>
      </c>
      <c r="IB59" t="e">
        <f>AND(Birds!P30,"AAAAAHp8/us=")</f>
        <v>#VALUE!</v>
      </c>
      <c r="IC59" t="e">
        <f>AND(Birds!Q30,"AAAAAHp8/uw=")</f>
        <v>#VALUE!</v>
      </c>
      <c r="ID59" t="e">
        <f>AND(Birds!R30,"AAAAAHp8/u0=")</f>
        <v>#VALUE!</v>
      </c>
      <c r="IE59" t="e">
        <f>AND(Birds!S30,"AAAAAHp8/u4=")</f>
        <v>#VALUE!</v>
      </c>
      <c r="IF59" t="e">
        <f>AND(Birds!T30,"AAAAAHp8/u8=")</f>
        <v>#VALUE!</v>
      </c>
      <c r="IG59" t="e">
        <f>AND(Birds!U30,"AAAAAHp8/vA=")</f>
        <v>#VALUE!</v>
      </c>
      <c r="IH59" t="e">
        <f>AND(Birds!V30,"AAAAAHp8/vE=")</f>
        <v>#VALUE!</v>
      </c>
      <c r="II59" t="e">
        <f>AND(Birds!W30,"AAAAAHp8/vI=")</f>
        <v>#VALUE!</v>
      </c>
      <c r="IJ59" t="e">
        <f>AND(Birds!X30,"AAAAAHp8/vM=")</f>
        <v>#VALUE!</v>
      </c>
      <c r="IK59" t="e">
        <f>AND(Birds!Y30,"AAAAAHp8/vQ=")</f>
        <v>#VALUE!</v>
      </c>
      <c r="IL59" t="e">
        <f>AND(Birds!Z30,"AAAAAHp8/vU=")</f>
        <v>#VALUE!</v>
      </c>
      <c r="IM59" t="e">
        <f>AND(Birds!AA30,"AAAAAHp8/vY=")</f>
        <v>#VALUE!</v>
      </c>
      <c r="IN59" t="e">
        <f>AND(Birds!AB30,"AAAAAHp8/vc=")</f>
        <v>#VALUE!</v>
      </c>
      <c r="IO59" t="e">
        <f>AND(Birds!AC30,"AAAAAHp8/vg=")</f>
        <v>#VALUE!</v>
      </c>
      <c r="IP59" t="e">
        <f>AND(Birds!AD30,"AAAAAHp8/vk=")</f>
        <v>#VALUE!</v>
      </c>
      <c r="IQ59" t="e">
        <f>AND(Birds!AE30,"AAAAAHp8/vo=")</f>
        <v>#VALUE!</v>
      </c>
      <c r="IR59" t="e">
        <f>AND(Birds!AF30,"AAAAAHp8/vs=")</f>
        <v>#VALUE!</v>
      </c>
      <c r="IS59" t="e">
        <f>AND(Birds!AG30,"AAAAAHp8/vw=")</f>
        <v>#VALUE!</v>
      </c>
      <c r="IT59" t="e">
        <f>AND(Birds!AH30,"AAAAAHp8/v0=")</f>
        <v>#VALUE!</v>
      </c>
      <c r="IU59" t="e">
        <f>AND(Birds!AI30,"AAAAAHp8/v4=")</f>
        <v>#VALUE!</v>
      </c>
      <c r="IV59" t="e">
        <f>AND(Birds!AJ30,"AAAAAHp8/v8=")</f>
        <v>#VALUE!</v>
      </c>
    </row>
    <row r="60" spans="1:256">
      <c r="A60" t="e">
        <f>AND(Birds!AK30,"AAAAAH/97AA=")</f>
        <v>#VALUE!</v>
      </c>
      <c r="B60" t="e">
        <f>AND(Birds!AL30,"AAAAAH/97AE=")</f>
        <v>#VALUE!</v>
      </c>
      <c r="C60" t="e">
        <f>AND(Birds!AM30,"AAAAAH/97AI=")</f>
        <v>#VALUE!</v>
      </c>
      <c r="D60" t="e">
        <f>AND(Birds!AN30,"AAAAAH/97AM=")</f>
        <v>#VALUE!</v>
      </c>
      <c r="E60" t="e">
        <f>AND(Birds!AO30,"AAAAAH/97AQ=")</f>
        <v>#VALUE!</v>
      </c>
      <c r="F60" t="e">
        <f>AND(Birds!AP30,"AAAAAH/97AU=")</f>
        <v>#VALUE!</v>
      </c>
      <c r="G60" t="e">
        <f>AND(Birds!AQ30,"AAAAAH/97AY=")</f>
        <v>#VALUE!</v>
      </c>
      <c r="H60" t="e">
        <f>AND(Birds!AR30,"AAAAAH/97Ac=")</f>
        <v>#VALUE!</v>
      </c>
      <c r="I60" t="e">
        <f>AND(Birds!AS30,"AAAAAH/97Ag=")</f>
        <v>#VALUE!</v>
      </c>
      <c r="J60" t="e">
        <f>AND(Birds!AT30,"AAAAAH/97Ak=")</f>
        <v>#VALUE!</v>
      </c>
      <c r="K60" t="e">
        <f>AND(Birds!AU30,"AAAAAH/97Ao=")</f>
        <v>#VALUE!</v>
      </c>
      <c r="L60" t="e">
        <f>AND(Birds!AV30,"AAAAAH/97As=")</f>
        <v>#VALUE!</v>
      </c>
      <c r="M60" t="e">
        <f>AND(Birds!AW30,"AAAAAH/97Aw=")</f>
        <v>#VALUE!</v>
      </c>
      <c r="N60" t="e">
        <f>AND(Birds!AX30,"AAAAAH/97A0=")</f>
        <v>#VALUE!</v>
      </c>
      <c r="O60" t="e">
        <f>AND(Birds!AY30,"AAAAAH/97A4=")</f>
        <v>#VALUE!</v>
      </c>
      <c r="P60" t="e">
        <f>AND(Birds!AZ30,"AAAAAH/97A8=")</f>
        <v>#VALUE!</v>
      </c>
      <c r="Q60" t="e">
        <f>AND(Birds!BA30,"AAAAAH/97BA=")</f>
        <v>#VALUE!</v>
      </c>
      <c r="R60" t="e">
        <f>AND(Birds!BB30,"AAAAAH/97BE=")</f>
        <v>#VALUE!</v>
      </c>
      <c r="S60" t="e">
        <f>AND(Birds!BC30,"AAAAAH/97BI=")</f>
        <v>#VALUE!</v>
      </c>
      <c r="T60" t="e">
        <f>AND(Birds!BD30,"AAAAAH/97BM=")</f>
        <v>#VALUE!</v>
      </c>
      <c r="U60" t="e">
        <f>AND(Birds!BE30,"AAAAAH/97BQ=")</f>
        <v>#VALUE!</v>
      </c>
      <c r="V60" t="e">
        <f>AND(Birds!BF30,"AAAAAH/97BU=")</f>
        <v>#VALUE!</v>
      </c>
      <c r="W60" t="e">
        <f>AND(Birds!BG30,"AAAAAH/97BY=")</f>
        <v>#VALUE!</v>
      </c>
      <c r="X60" t="e">
        <f>AND(Birds!BH30,"AAAAAH/97Bc=")</f>
        <v>#VALUE!</v>
      </c>
      <c r="Y60" t="e">
        <f>AND(Birds!BI30,"AAAAAH/97Bg=")</f>
        <v>#VALUE!</v>
      </c>
      <c r="Z60" t="e">
        <f>AND(Birds!BJ30,"AAAAAH/97Bk=")</f>
        <v>#VALUE!</v>
      </c>
      <c r="AA60" t="e">
        <f>AND(Birds!BK30,"AAAAAH/97Bo=")</f>
        <v>#VALUE!</v>
      </c>
      <c r="AB60" t="e">
        <f>AND(Birds!BL30,"AAAAAH/97Bs=")</f>
        <v>#VALUE!</v>
      </c>
      <c r="AC60" t="e">
        <f>AND(Birds!BM30,"AAAAAH/97Bw=")</f>
        <v>#VALUE!</v>
      </c>
      <c r="AD60" t="e">
        <f>AND(Birds!BN30,"AAAAAH/97B0=")</f>
        <v>#VALUE!</v>
      </c>
      <c r="AE60" t="e">
        <f>AND(Birds!BO30,"AAAAAH/97B4=")</f>
        <v>#VALUE!</v>
      </c>
      <c r="AF60" t="e">
        <f>AND(Birds!BP30,"AAAAAH/97B8=")</f>
        <v>#VALUE!</v>
      </c>
      <c r="AG60" t="e">
        <f>AND(Birds!BQ30,"AAAAAH/97CA=")</f>
        <v>#VALUE!</v>
      </c>
      <c r="AH60" t="e">
        <f>AND(Birds!BR30,"AAAAAH/97CE=")</f>
        <v>#VALUE!</v>
      </c>
      <c r="AI60" t="e">
        <f>AND(Birds!BS30,"AAAAAH/97CI=")</f>
        <v>#VALUE!</v>
      </c>
      <c r="AJ60" t="e">
        <f>AND(Birds!BT30,"AAAAAH/97CM=")</f>
        <v>#VALUE!</v>
      </c>
      <c r="AK60" t="e">
        <f>AND(Birds!BU30,"AAAAAH/97CQ=")</f>
        <v>#VALUE!</v>
      </c>
      <c r="AL60" t="e">
        <f>AND(Birds!BV30,"AAAAAH/97CU=")</f>
        <v>#VALUE!</v>
      </c>
      <c r="AM60" t="e">
        <f>AND(Birds!BW30,"AAAAAH/97CY=")</f>
        <v>#VALUE!</v>
      </c>
      <c r="AN60" t="e">
        <f>AND(Birds!BX30,"AAAAAH/97Cc=")</f>
        <v>#VALUE!</v>
      </c>
      <c r="AO60" t="e">
        <f>AND(Birds!BY30,"AAAAAH/97Cg=")</f>
        <v>#VALUE!</v>
      </c>
      <c r="AP60" t="e">
        <f>AND(Birds!BZ30,"AAAAAH/97Ck=")</f>
        <v>#VALUE!</v>
      </c>
      <c r="AQ60" t="e">
        <f>AND(Birds!CA30,"AAAAAH/97Co=")</f>
        <v>#VALUE!</v>
      </c>
      <c r="AR60" t="e">
        <f>AND(Birds!CB30,"AAAAAH/97Cs=")</f>
        <v>#VALUE!</v>
      </c>
      <c r="AS60" t="e">
        <f>AND(Birds!CC30,"AAAAAH/97Cw=")</f>
        <v>#VALUE!</v>
      </c>
      <c r="AT60" t="e">
        <f>AND(Birds!CD30,"AAAAAH/97C0=")</f>
        <v>#VALUE!</v>
      </c>
      <c r="AU60" t="e">
        <f>AND(Birds!CE30,"AAAAAH/97C4=")</f>
        <v>#VALUE!</v>
      </c>
      <c r="AV60" t="e">
        <f>AND(Birds!CF30,"AAAAAH/97C8=")</f>
        <v>#VALUE!</v>
      </c>
      <c r="AW60" t="e">
        <f>AND(Birds!CG30,"AAAAAH/97DA=")</f>
        <v>#VALUE!</v>
      </c>
      <c r="AX60" t="e">
        <f>AND(Birds!CH30,"AAAAAH/97DE=")</f>
        <v>#VALUE!</v>
      </c>
      <c r="AY60" t="e">
        <f>AND(Birds!CI30,"AAAAAH/97DI=")</f>
        <v>#VALUE!</v>
      </c>
      <c r="AZ60" t="e">
        <f>AND(Birds!CJ30,"AAAAAH/97DM=")</f>
        <v>#VALUE!</v>
      </c>
      <c r="BA60" t="e">
        <f>AND(Birds!CK30,"AAAAAH/97DQ=")</f>
        <v>#VALUE!</v>
      </c>
      <c r="BB60" t="e">
        <f>AND(Birds!CL30,"AAAAAH/97DU=")</f>
        <v>#VALUE!</v>
      </c>
      <c r="BC60" t="e">
        <f>AND(Birds!CM30,"AAAAAH/97DY=")</f>
        <v>#VALUE!</v>
      </c>
      <c r="BD60" t="e">
        <f>AND(Birds!CN30,"AAAAAH/97Dc=")</f>
        <v>#VALUE!</v>
      </c>
      <c r="BE60" t="e">
        <f>AND(Birds!CO30,"AAAAAH/97Dg=")</f>
        <v>#VALUE!</v>
      </c>
      <c r="BF60" t="e">
        <f>AND(Birds!CP30,"AAAAAH/97Dk=")</f>
        <v>#VALUE!</v>
      </c>
      <c r="BG60" t="e">
        <f>AND(Birds!CQ30,"AAAAAH/97Do=")</f>
        <v>#VALUE!</v>
      </c>
      <c r="BH60" t="e">
        <f>AND(Birds!CR30,"AAAAAH/97Ds=")</f>
        <v>#VALUE!</v>
      </c>
      <c r="BI60" t="e">
        <f>AND(Birds!CS30,"AAAAAH/97Dw=")</f>
        <v>#VALUE!</v>
      </c>
      <c r="BJ60" t="e">
        <f>AND(Birds!CT30,"AAAAAH/97D0=")</f>
        <v>#VALUE!</v>
      </c>
      <c r="BK60" t="e">
        <f>AND(Birds!CU30,"AAAAAH/97D4=")</f>
        <v>#VALUE!</v>
      </c>
      <c r="BL60" t="e">
        <f>AND(Birds!CV30,"AAAAAH/97D8=")</f>
        <v>#VALUE!</v>
      </c>
      <c r="BM60" t="e">
        <f>AND(Birds!CW30,"AAAAAH/97EA=")</f>
        <v>#VALUE!</v>
      </c>
      <c r="BN60" t="e">
        <f>AND(Birds!CX30,"AAAAAH/97EE=")</f>
        <v>#VALUE!</v>
      </c>
      <c r="BO60" t="e">
        <f>AND(Birds!CY30,"AAAAAH/97EI=")</f>
        <v>#VALUE!</v>
      </c>
      <c r="BP60" t="e">
        <f>AND(Birds!CZ30,"AAAAAH/97EM=")</f>
        <v>#VALUE!</v>
      </c>
      <c r="BQ60" t="e">
        <f>AND(Birds!DA30,"AAAAAH/97EQ=")</f>
        <v>#VALUE!</v>
      </c>
      <c r="BR60" t="e">
        <f>AND(Birds!DB30,"AAAAAH/97EU=")</f>
        <v>#VALUE!</v>
      </c>
      <c r="BS60" t="e">
        <f>AND(Birds!DC30,"AAAAAH/97EY=")</f>
        <v>#VALUE!</v>
      </c>
      <c r="BT60" t="e">
        <f>AND(Birds!DD30,"AAAAAH/97Ec=")</f>
        <v>#VALUE!</v>
      </c>
      <c r="BU60" t="e">
        <f>AND(Birds!DE30,"AAAAAH/97Eg=")</f>
        <v>#VALUE!</v>
      </c>
      <c r="BV60" t="e">
        <f>AND(Birds!DF30,"AAAAAH/97Ek=")</f>
        <v>#VALUE!</v>
      </c>
      <c r="BW60" t="e">
        <f>AND(Birds!DG30,"AAAAAH/97Eo=")</f>
        <v>#VALUE!</v>
      </c>
      <c r="BX60" t="e">
        <f>AND(Birds!DH30,"AAAAAH/97Es=")</f>
        <v>#VALUE!</v>
      </c>
      <c r="BY60" t="e">
        <f>AND(Birds!DI30,"AAAAAH/97Ew=")</f>
        <v>#VALUE!</v>
      </c>
      <c r="BZ60" t="e">
        <f>AND(Birds!DJ30,"AAAAAH/97E0=")</f>
        <v>#VALUE!</v>
      </c>
      <c r="CA60" t="e">
        <f>AND(Birds!DK30,"AAAAAH/97E4=")</f>
        <v>#VALUE!</v>
      </c>
      <c r="CB60" t="e">
        <f>AND(Birds!DL30,"AAAAAH/97E8=")</f>
        <v>#VALUE!</v>
      </c>
      <c r="CC60" t="e">
        <f>AND(Birds!DM30,"AAAAAH/97FA=")</f>
        <v>#VALUE!</v>
      </c>
      <c r="CD60" t="e">
        <f>AND(Birds!DN30,"AAAAAH/97FE=")</f>
        <v>#VALUE!</v>
      </c>
      <c r="CE60" t="e">
        <f>AND(Birds!DO30,"AAAAAH/97FI=")</f>
        <v>#VALUE!</v>
      </c>
      <c r="CF60" t="e">
        <f>AND(Birds!DP30,"AAAAAH/97FM=")</f>
        <v>#VALUE!</v>
      </c>
      <c r="CG60" t="e">
        <f>AND(Birds!DQ30,"AAAAAH/97FQ=")</f>
        <v>#VALUE!</v>
      </c>
      <c r="CH60" t="e">
        <f>AND(Birds!DR30,"AAAAAH/97FU=")</f>
        <v>#VALUE!</v>
      </c>
      <c r="CI60" t="e">
        <f>AND(Birds!DS30,"AAAAAH/97FY=")</f>
        <v>#VALUE!</v>
      </c>
      <c r="CJ60" t="e">
        <f>AND(Birds!DT30,"AAAAAH/97Fc=")</f>
        <v>#VALUE!</v>
      </c>
      <c r="CK60" t="e">
        <f>AND(Birds!DU30,"AAAAAH/97Fg=")</f>
        <v>#VALUE!</v>
      </c>
      <c r="CL60" t="e">
        <f>AND(Birds!DV30,"AAAAAH/97Fk=")</f>
        <v>#VALUE!</v>
      </c>
      <c r="CM60" t="e">
        <f>AND(Birds!DW30,"AAAAAH/97Fo=")</f>
        <v>#VALUE!</v>
      </c>
      <c r="CN60" t="e">
        <f>AND(Birds!DX30,"AAAAAH/97Fs=")</f>
        <v>#VALUE!</v>
      </c>
      <c r="CO60" t="e">
        <f>AND(Birds!DY30,"AAAAAH/97Fw=")</f>
        <v>#VALUE!</v>
      </c>
      <c r="CP60" t="e">
        <f>AND(Birds!DZ30,"AAAAAH/97F0=")</f>
        <v>#VALUE!</v>
      </c>
      <c r="CQ60" t="e">
        <f>AND(Birds!EA30,"AAAAAH/97F4=")</f>
        <v>#VALUE!</v>
      </c>
      <c r="CR60" t="e">
        <f>AND(Birds!EB30,"AAAAAH/97F8=")</f>
        <v>#VALUE!</v>
      </c>
      <c r="CS60" t="e">
        <f>AND(Birds!EC30,"AAAAAH/97GA=")</f>
        <v>#VALUE!</v>
      </c>
      <c r="CT60" t="e">
        <f>AND(Birds!ED30,"AAAAAH/97GE=")</f>
        <v>#VALUE!</v>
      </c>
      <c r="CU60" t="e">
        <f>AND(Birds!EE30,"AAAAAH/97GI=")</f>
        <v>#VALUE!</v>
      </c>
      <c r="CV60" t="e">
        <f>AND(Birds!EF30,"AAAAAH/97GM=")</f>
        <v>#VALUE!</v>
      </c>
      <c r="CW60" t="e">
        <f>AND(Birds!EG30,"AAAAAH/97GQ=")</f>
        <v>#VALUE!</v>
      </c>
      <c r="CX60" t="e">
        <f>AND(Birds!EH30,"AAAAAH/97GU=")</f>
        <v>#VALUE!</v>
      </c>
      <c r="CY60" t="e">
        <f>AND(Birds!EI30,"AAAAAH/97GY=")</f>
        <v>#VALUE!</v>
      </c>
      <c r="CZ60" t="e">
        <f>AND(Birds!EJ30,"AAAAAH/97Gc=")</f>
        <v>#VALUE!</v>
      </c>
      <c r="DA60" t="e">
        <f>AND(Birds!EK30,"AAAAAH/97Gg=")</f>
        <v>#VALUE!</v>
      </c>
      <c r="DB60" t="e">
        <f>AND(Birds!EL30,"AAAAAH/97Gk=")</f>
        <v>#VALUE!</v>
      </c>
      <c r="DC60" t="e">
        <f>AND(Birds!EM30,"AAAAAH/97Go=")</f>
        <v>#VALUE!</v>
      </c>
      <c r="DD60" t="e">
        <f>AND(Birds!EN30,"AAAAAH/97Gs=")</f>
        <v>#VALUE!</v>
      </c>
      <c r="DE60" t="e">
        <f>AND(Birds!EO30,"AAAAAH/97Gw=")</f>
        <v>#VALUE!</v>
      </c>
      <c r="DF60" t="e">
        <f>AND(Birds!EP30,"AAAAAH/97G0=")</f>
        <v>#VALUE!</v>
      </c>
      <c r="DG60" t="e">
        <f>AND(Birds!EQ30,"AAAAAH/97G4=")</f>
        <v>#VALUE!</v>
      </c>
      <c r="DH60" t="e">
        <f>AND(Birds!ER30,"AAAAAH/97G8=")</f>
        <v>#VALUE!</v>
      </c>
      <c r="DI60" t="e">
        <f>AND(Birds!ES30,"AAAAAH/97HA=")</f>
        <v>#VALUE!</v>
      </c>
      <c r="DJ60" t="e">
        <f>AND(Birds!ET30,"AAAAAH/97HE=")</f>
        <v>#VALUE!</v>
      </c>
      <c r="DK60" t="e">
        <f>AND(Birds!EU30,"AAAAAH/97HI=")</f>
        <v>#VALUE!</v>
      </c>
      <c r="DL60" t="e">
        <f>AND(Birds!EV30,"AAAAAH/97HM=")</f>
        <v>#VALUE!</v>
      </c>
      <c r="DM60" t="e">
        <f>AND(Birds!EW30,"AAAAAH/97HQ=")</f>
        <v>#VALUE!</v>
      </c>
      <c r="DN60" t="e">
        <f>AND(Birds!EX30,"AAAAAH/97HU=")</f>
        <v>#VALUE!</v>
      </c>
      <c r="DO60" t="e">
        <f>AND(Birds!EY30,"AAAAAH/97HY=")</f>
        <v>#VALUE!</v>
      </c>
      <c r="DP60" t="e">
        <f>AND(Birds!EZ30,"AAAAAH/97Hc=")</f>
        <v>#VALUE!</v>
      </c>
      <c r="DQ60" t="e">
        <f>AND(Birds!FA30,"AAAAAH/97Hg=")</f>
        <v>#VALUE!</v>
      </c>
      <c r="DR60" t="e">
        <f>AND(Birds!FB30,"AAAAAH/97Hk=")</f>
        <v>#VALUE!</v>
      </c>
      <c r="DS60" t="e">
        <f>AND(Birds!FC30,"AAAAAH/97Ho=")</f>
        <v>#VALUE!</v>
      </c>
      <c r="DT60" t="e">
        <f>AND(Birds!FD30,"AAAAAH/97Hs=")</f>
        <v>#VALUE!</v>
      </c>
      <c r="DU60" t="e">
        <f>AND(Birds!FE30,"AAAAAH/97Hw=")</f>
        <v>#VALUE!</v>
      </c>
      <c r="DV60" t="e">
        <f>AND(Birds!FF30,"AAAAAH/97H0=")</f>
        <v>#VALUE!</v>
      </c>
      <c r="DW60" t="e">
        <f>AND(Birds!FG30,"AAAAAH/97H4=")</f>
        <v>#VALUE!</v>
      </c>
      <c r="DX60" t="e">
        <f>AND(Birds!FH30,"AAAAAH/97H8=")</f>
        <v>#VALUE!</v>
      </c>
      <c r="DY60" t="e">
        <f>AND(Birds!FI30,"AAAAAH/97IA=")</f>
        <v>#VALUE!</v>
      </c>
      <c r="DZ60" t="e">
        <f>AND(Birds!FJ30,"AAAAAH/97IE=")</f>
        <v>#VALUE!</v>
      </c>
      <c r="EA60" t="e">
        <f>AND(Birds!FK30,"AAAAAH/97II=")</f>
        <v>#VALUE!</v>
      </c>
      <c r="EB60" t="e">
        <f>AND(Birds!FL30,"AAAAAH/97IM=")</f>
        <v>#VALUE!</v>
      </c>
      <c r="EC60" t="e">
        <f>AND(Birds!FM30,"AAAAAH/97IQ=")</f>
        <v>#VALUE!</v>
      </c>
      <c r="ED60" t="e">
        <f>AND(Birds!FN30,"AAAAAH/97IU=")</f>
        <v>#VALUE!</v>
      </c>
      <c r="EE60" t="e">
        <f>AND(Birds!FO30,"AAAAAH/97IY=")</f>
        <v>#VALUE!</v>
      </c>
      <c r="EF60" t="e">
        <f>AND(Birds!FP30,"AAAAAH/97Ic=")</f>
        <v>#VALUE!</v>
      </c>
      <c r="EG60" t="e">
        <f>AND(Birds!FQ30,"AAAAAH/97Ig=")</f>
        <v>#VALUE!</v>
      </c>
      <c r="EH60" t="e">
        <f>AND(Birds!FR30,"AAAAAH/97Ik=")</f>
        <v>#VALUE!</v>
      </c>
      <c r="EI60" t="e">
        <f>AND(Birds!FS30,"AAAAAH/97Io=")</f>
        <v>#VALUE!</v>
      </c>
      <c r="EJ60" t="e">
        <f>AND(Birds!FT30,"AAAAAH/97Is=")</f>
        <v>#VALUE!</v>
      </c>
      <c r="EK60" t="e">
        <f>AND(Birds!FU30,"AAAAAH/97Iw=")</f>
        <v>#VALUE!</v>
      </c>
      <c r="EL60" t="e">
        <f>AND(Birds!FV30,"AAAAAH/97I0=")</f>
        <v>#VALUE!</v>
      </c>
      <c r="EM60" t="e">
        <f>AND(Birds!FW30,"AAAAAH/97I4=")</f>
        <v>#VALUE!</v>
      </c>
      <c r="EN60" t="e">
        <f>AND(Birds!FX30,"AAAAAH/97I8=")</f>
        <v>#VALUE!</v>
      </c>
      <c r="EO60" t="e">
        <f>AND(Birds!FY30,"AAAAAH/97JA=")</f>
        <v>#VALUE!</v>
      </c>
      <c r="EP60" t="e">
        <f>AND(Birds!FZ30,"AAAAAH/97JE=")</f>
        <v>#VALUE!</v>
      </c>
      <c r="EQ60" t="e">
        <f>AND(Birds!GA30,"AAAAAH/97JI=")</f>
        <v>#VALUE!</v>
      </c>
      <c r="ER60" t="e">
        <f>AND(Birds!GB30,"AAAAAH/97JM=")</f>
        <v>#VALUE!</v>
      </c>
      <c r="ES60" t="e">
        <f>AND(Birds!GC30,"AAAAAH/97JQ=")</f>
        <v>#VALUE!</v>
      </c>
      <c r="ET60" t="e">
        <f>AND(Birds!GD30,"AAAAAH/97JU=")</f>
        <v>#VALUE!</v>
      </c>
      <c r="EU60" t="e">
        <f>AND(Birds!GE30,"AAAAAH/97JY=")</f>
        <v>#VALUE!</v>
      </c>
      <c r="EV60" t="e">
        <f>AND(Birds!GF30,"AAAAAH/97Jc=")</f>
        <v>#VALUE!</v>
      </c>
      <c r="EW60" t="e">
        <f>AND(Birds!GG30,"AAAAAH/97Jg=")</f>
        <v>#VALUE!</v>
      </c>
      <c r="EX60" t="e">
        <f>AND(Birds!GH30,"AAAAAH/97Jk=")</f>
        <v>#VALUE!</v>
      </c>
      <c r="EY60" t="e">
        <f>AND(Birds!GI30,"AAAAAH/97Jo=")</f>
        <v>#VALUE!</v>
      </c>
      <c r="EZ60" t="e">
        <f>AND(Birds!GJ30,"AAAAAH/97Js=")</f>
        <v>#VALUE!</v>
      </c>
      <c r="FA60" t="e">
        <f>AND(Birds!GK30,"AAAAAH/97Jw=")</f>
        <v>#VALUE!</v>
      </c>
      <c r="FB60" t="e">
        <f>AND(Birds!GL30,"AAAAAH/97J0=")</f>
        <v>#VALUE!</v>
      </c>
      <c r="FC60" t="e">
        <f>AND(Birds!GM30,"AAAAAH/97J4=")</f>
        <v>#VALUE!</v>
      </c>
      <c r="FD60">
        <f>IF(Birds!31:31,"AAAAAH/97J8=",0)</f>
        <v>0</v>
      </c>
      <c r="FE60" t="e">
        <f>AND(Birds!A31,"AAAAAH/97KA=")</f>
        <v>#VALUE!</v>
      </c>
      <c r="FF60" t="e">
        <f>AND(Birds!B31,"AAAAAH/97KE=")</f>
        <v>#VALUE!</v>
      </c>
      <c r="FG60" t="e">
        <f>AND(Birds!C31,"AAAAAH/97KI=")</f>
        <v>#VALUE!</v>
      </c>
      <c r="FH60" t="e">
        <f>AND(Birds!D31,"AAAAAH/97KM=")</f>
        <v>#VALUE!</v>
      </c>
      <c r="FI60" t="e">
        <f>AND(Birds!E31,"AAAAAH/97KQ=")</f>
        <v>#VALUE!</v>
      </c>
      <c r="FJ60" t="e">
        <f>AND(Birds!F31,"AAAAAH/97KU=")</f>
        <v>#VALUE!</v>
      </c>
      <c r="FK60" t="e">
        <f>AND(Birds!G31,"AAAAAH/97KY=")</f>
        <v>#VALUE!</v>
      </c>
      <c r="FL60" t="e">
        <f>AND(Birds!H31,"AAAAAH/97Kc=")</f>
        <v>#VALUE!</v>
      </c>
      <c r="FM60" t="e">
        <f>AND(Birds!I31,"AAAAAH/97Kg=")</f>
        <v>#VALUE!</v>
      </c>
      <c r="FN60" t="e">
        <f>AND(Birds!J31,"AAAAAH/97Kk=")</f>
        <v>#VALUE!</v>
      </c>
      <c r="FO60" t="e">
        <f>AND(Birds!K31,"AAAAAH/97Ko=")</f>
        <v>#VALUE!</v>
      </c>
      <c r="FP60" t="e">
        <f>AND(Birds!L31,"AAAAAH/97Ks=")</f>
        <v>#VALUE!</v>
      </c>
      <c r="FQ60" t="e">
        <f>AND(Birds!M31,"AAAAAH/97Kw=")</f>
        <v>#VALUE!</v>
      </c>
      <c r="FR60" t="e">
        <f>AND(Birds!N31,"AAAAAH/97K0=")</f>
        <v>#VALUE!</v>
      </c>
      <c r="FS60" t="e">
        <f>AND(Birds!O31,"AAAAAH/97K4=")</f>
        <v>#VALUE!</v>
      </c>
      <c r="FT60" t="e">
        <f>AND(Birds!P31,"AAAAAH/97K8=")</f>
        <v>#VALUE!</v>
      </c>
      <c r="FU60" t="e">
        <f>AND(Birds!Q31,"AAAAAH/97LA=")</f>
        <v>#VALUE!</v>
      </c>
      <c r="FV60" t="e">
        <f>AND(Birds!R31,"AAAAAH/97LE=")</f>
        <v>#VALUE!</v>
      </c>
      <c r="FW60" t="e">
        <f>AND(Birds!S31,"AAAAAH/97LI=")</f>
        <v>#VALUE!</v>
      </c>
      <c r="FX60" t="e">
        <f>AND(Birds!T31,"AAAAAH/97LM=")</f>
        <v>#VALUE!</v>
      </c>
      <c r="FY60" t="e">
        <f>AND(Birds!U31,"AAAAAH/97LQ=")</f>
        <v>#VALUE!</v>
      </c>
      <c r="FZ60" t="e">
        <f>AND(Birds!V31,"AAAAAH/97LU=")</f>
        <v>#VALUE!</v>
      </c>
      <c r="GA60" t="e">
        <f>AND(Birds!W31,"AAAAAH/97LY=")</f>
        <v>#VALUE!</v>
      </c>
      <c r="GB60" t="e">
        <f>AND(Birds!X31,"AAAAAH/97Lc=")</f>
        <v>#VALUE!</v>
      </c>
      <c r="GC60" t="e">
        <f>AND(Birds!Y31,"AAAAAH/97Lg=")</f>
        <v>#VALUE!</v>
      </c>
      <c r="GD60" t="e">
        <f>AND(Birds!Z31,"AAAAAH/97Lk=")</f>
        <v>#VALUE!</v>
      </c>
      <c r="GE60" t="e">
        <f>AND(Birds!AA31,"AAAAAH/97Lo=")</f>
        <v>#VALUE!</v>
      </c>
      <c r="GF60" t="e">
        <f>AND(Birds!AB31,"AAAAAH/97Ls=")</f>
        <v>#VALUE!</v>
      </c>
      <c r="GG60" t="e">
        <f>AND(Birds!AC31,"AAAAAH/97Lw=")</f>
        <v>#VALUE!</v>
      </c>
      <c r="GH60" t="e">
        <f>AND(Birds!AD31,"AAAAAH/97L0=")</f>
        <v>#VALUE!</v>
      </c>
      <c r="GI60" t="e">
        <f>AND(Birds!AE31,"AAAAAH/97L4=")</f>
        <v>#VALUE!</v>
      </c>
      <c r="GJ60" t="e">
        <f>AND(Birds!AF31,"AAAAAH/97L8=")</f>
        <v>#VALUE!</v>
      </c>
      <c r="GK60" t="e">
        <f>AND(Birds!AG31,"AAAAAH/97MA=")</f>
        <v>#VALUE!</v>
      </c>
      <c r="GL60" t="e">
        <f>AND(Birds!AH31,"AAAAAH/97ME=")</f>
        <v>#VALUE!</v>
      </c>
      <c r="GM60" t="e">
        <f>AND(Birds!AI31,"AAAAAH/97MI=")</f>
        <v>#VALUE!</v>
      </c>
      <c r="GN60" t="e">
        <f>AND(Birds!AJ31,"AAAAAH/97MM=")</f>
        <v>#VALUE!</v>
      </c>
      <c r="GO60" t="e">
        <f>AND(Birds!AK31,"AAAAAH/97MQ=")</f>
        <v>#VALUE!</v>
      </c>
      <c r="GP60" t="e">
        <f>AND(Birds!AL31,"AAAAAH/97MU=")</f>
        <v>#VALUE!</v>
      </c>
      <c r="GQ60" t="e">
        <f>AND(Birds!AM31,"AAAAAH/97MY=")</f>
        <v>#VALUE!</v>
      </c>
      <c r="GR60" t="e">
        <f>AND(Birds!AN31,"AAAAAH/97Mc=")</f>
        <v>#VALUE!</v>
      </c>
      <c r="GS60" t="e">
        <f>AND(Birds!AO31,"AAAAAH/97Mg=")</f>
        <v>#VALUE!</v>
      </c>
      <c r="GT60" t="e">
        <f>AND(Birds!AP31,"AAAAAH/97Mk=")</f>
        <v>#VALUE!</v>
      </c>
      <c r="GU60" t="e">
        <f>AND(Birds!AQ31,"AAAAAH/97Mo=")</f>
        <v>#VALUE!</v>
      </c>
      <c r="GV60" t="e">
        <f>AND(Birds!AR31,"AAAAAH/97Ms=")</f>
        <v>#VALUE!</v>
      </c>
      <c r="GW60" t="e">
        <f>AND(Birds!AS31,"AAAAAH/97Mw=")</f>
        <v>#VALUE!</v>
      </c>
      <c r="GX60" t="e">
        <f>AND(Birds!AT31,"AAAAAH/97M0=")</f>
        <v>#VALUE!</v>
      </c>
      <c r="GY60" t="e">
        <f>AND(Birds!AU31,"AAAAAH/97M4=")</f>
        <v>#VALUE!</v>
      </c>
      <c r="GZ60" t="e">
        <f>AND(Birds!AV31,"AAAAAH/97M8=")</f>
        <v>#VALUE!</v>
      </c>
      <c r="HA60" t="e">
        <f>AND(Birds!AW31,"AAAAAH/97NA=")</f>
        <v>#VALUE!</v>
      </c>
      <c r="HB60" t="e">
        <f>AND(Birds!AX31,"AAAAAH/97NE=")</f>
        <v>#VALUE!</v>
      </c>
      <c r="HC60" t="e">
        <f>AND(Birds!AY31,"AAAAAH/97NI=")</f>
        <v>#VALUE!</v>
      </c>
      <c r="HD60" t="e">
        <f>AND(Birds!AZ31,"AAAAAH/97NM=")</f>
        <v>#VALUE!</v>
      </c>
      <c r="HE60" t="e">
        <f>AND(Birds!BA31,"AAAAAH/97NQ=")</f>
        <v>#VALUE!</v>
      </c>
      <c r="HF60" t="e">
        <f>AND(Birds!BB31,"AAAAAH/97NU=")</f>
        <v>#VALUE!</v>
      </c>
      <c r="HG60" t="e">
        <f>AND(Birds!BC31,"AAAAAH/97NY=")</f>
        <v>#VALUE!</v>
      </c>
      <c r="HH60" t="e">
        <f>AND(Birds!BD31,"AAAAAH/97Nc=")</f>
        <v>#VALUE!</v>
      </c>
      <c r="HI60" t="e">
        <f>AND(Birds!BE31,"AAAAAH/97Ng=")</f>
        <v>#VALUE!</v>
      </c>
      <c r="HJ60" t="e">
        <f>AND(Birds!BF31,"AAAAAH/97Nk=")</f>
        <v>#VALUE!</v>
      </c>
      <c r="HK60" t="e">
        <f>AND(Birds!BG31,"AAAAAH/97No=")</f>
        <v>#VALUE!</v>
      </c>
      <c r="HL60" t="e">
        <f>AND(Birds!BH31,"AAAAAH/97Ns=")</f>
        <v>#VALUE!</v>
      </c>
      <c r="HM60" t="e">
        <f>AND(Birds!BI31,"AAAAAH/97Nw=")</f>
        <v>#VALUE!</v>
      </c>
      <c r="HN60" t="e">
        <f>AND(Birds!BJ31,"AAAAAH/97N0=")</f>
        <v>#VALUE!</v>
      </c>
      <c r="HO60" t="e">
        <f>AND(Birds!BK31,"AAAAAH/97N4=")</f>
        <v>#VALUE!</v>
      </c>
      <c r="HP60" t="e">
        <f>AND(Birds!BL31,"AAAAAH/97N8=")</f>
        <v>#VALUE!</v>
      </c>
      <c r="HQ60" t="e">
        <f>AND(Birds!BM31,"AAAAAH/97OA=")</f>
        <v>#VALUE!</v>
      </c>
      <c r="HR60" t="e">
        <f>AND(Birds!BN31,"AAAAAH/97OE=")</f>
        <v>#VALUE!</v>
      </c>
      <c r="HS60" t="e">
        <f>AND(Birds!BO31,"AAAAAH/97OI=")</f>
        <v>#VALUE!</v>
      </c>
      <c r="HT60" t="e">
        <f>AND(Birds!BP31,"AAAAAH/97OM=")</f>
        <v>#VALUE!</v>
      </c>
      <c r="HU60" t="e">
        <f>AND(Birds!BQ31,"AAAAAH/97OQ=")</f>
        <v>#VALUE!</v>
      </c>
      <c r="HV60" t="e">
        <f>AND(Birds!BR31,"AAAAAH/97OU=")</f>
        <v>#VALUE!</v>
      </c>
      <c r="HW60" t="e">
        <f>AND(Birds!BS31,"AAAAAH/97OY=")</f>
        <v>#VALUE!</v>
      </c>
      <c r="HX60" t="e">
        <f>AND(Birds!BT31,"AAAAAH/97Oc=")</f>
        <v>#VALUE!</v>
      </c>
      <c r="HY60" t="e">
        <f>AND(Birds!BU31,"AAAAAH/97Og=")</f>
        <v>#VALUE!</v>
      </c>
      <c r="HZ60" t="e">
        <f>AND(Birds!BV31,"AAAAAH/97Ok=")</f>
        <v>#VALUE!</v>
      </c>
      <c r="IA60" t="e">
        <f>AND(Birds!BW31,"AAAAAH/97Oo=")</f>
        <v>#VALUE!</v>
      </c>
      <c r="IB60" t="e">
        <f>AND(Birds!BX31,"AAAAAH/97Os=")</f>
        <v>#VALUE!</v>
      </c>
      <c r="IC60" t="e">
        <f>AND(Birds!BY31,"AAAAAH/97Ow=")</f>
        <v>#VALUE!</v>
      </c>
      <c r="ID60" t="e">
        <f>AND(Birds!BZ31,"AAAAAH/97O0=")</f>
        <v>#VALUE!</v>
      </c>
      <c r="IE60" t="e">
        <f>AND(Birds!CA31,"AAAAAH/97O4=")</f>
        <v>#VALUE!</v>
      </c>
      <c r="IF60" t="e">
        <f>AND(Birds!CB31,"AAAAAH/97O8=")</f>
        <v>#VALUE!</v>
      </c>
      <c r="IG60" t="e">
        <f>AND(Birds!CC31,"AAAAAH/97PA=")</f>
        <v>#VALUE!</v>
      </c>
      <c r="IH60" t="e">
        <f>AND(Birds!CD31,"AAAAAH/97PE=")</f>
        <v>#VALUE!</v>
      </c>
      <c r="II60" t="e">
        <f>AND(Birds!CE31,"AAAAAH/97PI=")</f>
        <v>#VALUE!</v>
      </c>
      <c r="IJ60" t="e">
        <f>AND(Birds!CF31,"AAAAAH/97PM=")</f>
        <v>#VALUE!</v>
      </c>
      <c r="IK60" t="e">
        <f>AND(Birds!CG31,"AAAAAH/97PQ=")</f>
        <v>#VALUE!</v>
      </c>
      <c r="IL60" t="e">
        <f>AND(Birds!CH31,"AAAAAH/97PU=")</f>
        <v>#VALUE!</v>
      </c>
      <c r="IM60" t="e">
        <f>AND(Birds!CI31,"AAAAAH/97PY=")</f>
        <v>#VALUE!</v>
      </c>
      <c r="IN60" t="e">
        <f>AND(Birds!CJ31,"AAAAAH/97Pc=")</f>
        <v>#VALUE!</v>
      </c>
      <c r="IO60" t="e">
        <f>AND(Birds!CK31,"AAAAAH/97Pg=")</f>
        <v>#VALUE!</v>
      </c>
      <c r="IP60" t="e">
        <f>AND(Birds!CL31,"AAAAAH/97Pk=")</f>
        <v>#VALUE!</v>
      </c>
      <c r="IQ60" t="e">
        <f>AND(Birds!CM31,"AAAAAH/97Po=")</f>
        <v>#VALUE!</v>
      </c>
      <c r="IR60" t="e">
        <f>AND(Birds!CN31,"AAAAAH/97Ps=")</f>
        <v>#VALUE!</v>
      </c>
      <c r="IS60" t="e">
        <f>AND(Birds!CO31,"AAAAAH/97Pw=")</f>
        <v>#VALUE!</v>
      </c>
      <c r="IT60" t="e">
        <f>AND(Birds!CP31,"AAAAAH/97P0=")</f>
        <v>#VALUE!</v>
      </c>
      <c r="IU60" t="e">
        <f>AND(Birds!CQ31,"AAAAAH/97P4=")</f>
        <v>#VALUE!</v>
      </c>
      <c r="IV60" t="e">
        <f>AND(Birds!CR31,"AAAAAH/97P8=")</f>
        <v>#VALUE!</v>
      </c>
    </row>
    <row r="61" spans="1:256">
      <c r="A61" t="e">
        <f>AND(Birds!CS31,"AAAAAFHPfwA=")</f>
        <v>#VALUE!</v>
      </c>
      <c r="B61" t="e">
        <f>AND(Birds!CT31,"AAAAAFHPfwE=")</f>
        <v>#VALUE!</v>
      </c>
      <c r="C61" t="e">
        <f>AND(Birds!CU31,"AAAAAFHPfwI=")</f>
        <v>#VALUE!</v>
      </c>
      <c r="D61" t="e">
        <f>AND(Birds!CV31,"AAAAAFHPfwM=")</f>
        <v>#VALUE!</v>
      </c>
      <c r="E61" t="e">
        <f>AND(Birds!CW31,"AAAAAFHPfwQ=")</f>
        <v>#VALUE!</v>
      </c>
      <c r="F61" t="e">
        <f>AND(Birds!CX31,"AAAAAFHPfwU=")</f>
        <v>#VALUE!</v>
      </c>
      <c r="G61" t="e">
        <f>AND(Birds!CY31,"AAAAAFHPfwY=")</f>
        <v>#VALUE!</v>
      </c>
      <c r="H61" t="e">
        <f>AND(Birds!CZ31,"AAAAAFHPfwc=")</f>
        <v>#VALUE!</v>
      </c>
      <c r="I61" t="e">
        <f>AND(Birds!DA31,"AAAAAFHPfwg=")</f>
        <v>#VALUE!</v>
      </c>
      <c r="J61" t="e">
        <f>AND(Birds!DB31,"AAAAAFHPfwk=")</f>
        <v>#VALUE!</v>
      </c>
      <c r="K61" t="e">
        <f>AND(Birds!DC31,"AAAAAFHPfwo=")</f>
        <v>#VALUE!</v>
      </c>
      <c r="L61" t="e">
        <f>AND(Birds!DD31,"AAAAAFHPfws=")</f>
        <v>#VALUE!</v>
      </c>
      <c r="M61" t="e">
        <f>AND(Birds!DE31,"AAAAAFHPfww=")</f>
        <v>#VALUE!</v>
      </c>
      <c r="N61" t="e">
        <f>AND(Birds!DF31,"AAAAAFHPfw0=")</f>
        <v>#VALUE!</v>
      </c>
      <c r="O61" t="e">
        <f>AND(Birds!DG31,"AAAAAFHPfw4=")</f>
        <v>#VALUE!</v>
      </c>
      <c r="P61" t="e">
        <f>AND(Birds!DH31,"AAAAAFHPfw8=")</f>
        <v>#VALUE!</v>
      </c>
      <c r="Q61" t="e">
        <f>AND(Birds!DI31,"AAAAAFHPfxA=")</f>
        <v>#VALUE!</v>
      </c>
      <c r="R61" t="e">
        <f>AND(Birds!DJ31,"AAAAAFHPfxE=")</f>
        <v>#VALUE!</v>
      </c>
      <c r="S61" t="e">
        <f>AND(Birds!DK31,"AAAAAFHPfxI=")</f>
        <v>#VALUE!</v>
      </c>
      <c r="T61" t="e">
        <f>AND(Birds!DL31,"AAAAAFHPfxM=")</f>
        <v>#VALUE!</v>
      </c>
      <c r="U61" t="e">
        <f>AND(Birds!DM31,"AAAAAFHPfxQ=")</f>
        <v>#VALUE!</v>
      </c>
      <c r="V61" t="e">
        <f>AND(Birds!DN31,"AAAAAFHPfxU=")</f>
        <v>#VALUE!</v>
      </c>
      <c r="W61" t="e">
        <f>AND(Birds!DO31,"AAAAAFHPfxY=")</f>
        <v>#VALUE!</v>
      </c>
      <c r="X61" t="e">
        <f>AND(Birds!DP31,"AAAAAFHPfxc=")</f>
        <v>#VALUE!</v>
      </c>
      <c r="Y61" t="e">
        <f>AND(Birds!DQ31,"AAAAAFHPfxg=")</f>
        <v>#VALUE!</v>
      </c>
      <c r="Z61" t="e">
        <f>AND(Birds!DR31,"AAAAAFHPfxk=")</f>
        <v>#VALUE!</v>
      </c>
      <c r="AA61" t="e">
        <f>AND(Birds!DS31,"AAAAAFHPfxo=")</f>
        <v>#VALUE!</v>
      </c>
      <c r="AB61" t="e">
        <f>AND(Birds!DT31,"AAAAAFHPfxs=")</f>
        <v>#VALUE!</v>
      </c>
      <c r="AC61" t="e">
        <f>AND(Birds!DU31,"AAAAAFHPfxw=")</f>
        <v>#VALUE!</v>
      </c>
      <c r="AD61" t="e">
        <f>AND(Birds!DV31,"AAAAAFHPfx0=")</f>
        <v>#VALUE!</v>
      </c>
      <c r="AE61" t="e">
        <f>AND(Birds!DW31,"AAAAAFHPfx4=")</f>
        <v>#VALUE!</v>
      </c>
      <c r="AF61" t="e">
        <f>AND(Birds!DX31,"AAAAAFHPfx8=")</f>
        <v>#VALUE!</v>
      </c>
      <c r="AG61" t="e">
        <f>AND(Birds!DY31,"AAAAAFHPfyA=")</f>
        <v>#VALUE!</v>
      </c>
      <c r="AH61" t="e">
        <f>AND(Birds!DZ31,"AAAAAFHPfyE=")</f>
        <v>#VALUE!</v>
      </c>
      <c r="AI61" t="e">
        <f>AND(Birds!EA31,"AAAAAFHPfyI=")</f>
        <v>#VALUE!</v>
      </c>
      <c r="AJ61" t="e">
        <f>AND(Birds!EB31,"AAAAAFHPfyM=")</f>
        <v>#VALUE!</v>
      </c>
      <c r="AK61" t="e">
        <f>AND(Birds!EC31,"AAAAAFHPfyQ=")</f>
        <v>#VALUE!</v>
      </c>
      <c r="AL61" t="e">
        <f>AND(Birds!ED31,"AAAAAFHPfyU=")</f>
        <v>#VALUE!</v>
      </c>
      <c r="AM61" t="e">
        <f>AND(Birds!EE31,"AAAAAFHPfyY=")</f>
        <v>#VALUE!</v>
      </c>
      <c r="AN61" t="e">
        <f>AND(Birds!EF31,"AAAAAFHPfyc=")</f>
        <v>#VALUE!</v>
      </c>
      <c r="AO61" t="e">
        <f>AND(Birds!EG31,"AAAAAFHPfyg=")</f>
        <v>#VALUE!</v>
      </c>
      <c r="AP61" t="e">
        <f>AND(Birds!EH31,"AAAAAFHPfyk=")</f>
        <v>#VALUE!</v>
      </c>
      <c r="AQ61" t="e">
        <f>AND(Birds!EI31,"AAAAAFHPfyo=")</f>
        <v>#VALUE!</v>
      </c>
      <c r="AR61" t="e">
        <f>AND(Birds!EJ31,"AAAAAFHPfys=")</f>
        <v>#VALUE!</v>
      </c>
      <c r="AS61" t="e">
        <f>AND(Birds!EK31,"AAAAAFHPfyw=")</f>
        <v>#VALUE!</v>
      </c>
      <c r="AT61" t="e">
        <f>AND(Birds!EL31,"AAAAAFHPfy0=")</f>
        <v>#VALUE!</v>
      </c>
      <c r="AU61" t="e">
        <f>AND(Birds!EM31,"AAAAAFHPfy4=")</f>
        <v>#VALUE!</v>
      </c>
      <c r="AV61" t="e">
        <f>AND(Birds!EN31,"AAAAAFHPfy8=")</f>
        <v>#VALUE!</v>
      </c>
      <c r="AW61" t="e">
        <f>AND(Birds!EO31,"AAAAAFHPfzA=")</f>
        <v>#VALUE!</v>
      </c>
      <c r="AX61" t="e">
        <f>AND(Birds!EP31,"AAAAAFHPfzE=")</f>
        <v>#VALUE!</v>
      </c>
      <c r="AY61" t="e">
        <f>AND(Birds!EQ31,"AAAAAFHPfzI=")</f>
        <v>#VALUE!</v>
      </c>
      <c r="AZ61" t="e">
        <f>AND(Birds!ER31,"AAAAAFHPfzM=")</f>
        <v>#VALUE!</v>
      </c>
      <c r="BA61" t="e">
        <f>AND(Birds!ES31,"AAAAAFHPfzQ=")</f>
        <v>#VALUE!</v>
      </c>
      <c r="BB61" t="e">
        <f>AND(Birds!ET31,"AAAAAFHPfzU=")</f>
        <v>#VALUE!</v>
      </c>
      <c r="BC61" t="e">
        <f>AND(Birds!EU31,"AAAAAFHPfzY=")</f>
        <v>#VALUE!</v>
      </c>
      <c r="BD61" t="e">
        <f>AND(Birds!EV31,"AAAAAFHPfzc=")</f>
        <v>#VALUE!</v>
      </c>
      <c r="BE61" t="e">
        <f>AND(Birds!EW31,"AAAAAFHPfzg=")</f>
        <v>#VALUE!</v>
      </c>
      <c r="BF61" t="e">
        <f>AND(Birds!EX31,"AAAAAFHPfzk=")</f>
        <v>#VALUE!</v>
      </c>
      <c r="BG61" t="e">
        <f>AND(Birds!EY31,"AAAAAFHPfzo=")</f>
        <v>#VALUE!</v>
      </c>
      <c r="BH61" t="e">
        <f>AND(Birds!EZ31,"AAAAAFHPfzs=")</f>
        <v>#VALUE!</v>
      </c>
      <c r="BI61" t="e">
        <f>AND(Birds!FA31,"AAAAAFHPfzw=")</f>
        <v>#VALUE!</v>
      </c>
      <c r="BJ61" t="e">
        <f>AND(Birds!FB31,"AAAAAFHPfz0=")</f>
        <v>#VALUE!</v>
      </c>
      <c r="BK61" t="e">
        <f>AND(Birds!FC31,"AAAAAFHPfz4=")</f>
        <v>#VALUE!</v>
      </c>
      <c r="BL61" t="e">
        <f>AND(Birds!FD31,"AAAAAFHPfz8=")</f>
        <v>#VALUE!</v>
      </c>
      <c r="BM61" t="e">
        <f>AND(Birds!FE31,"AAAAAFHPf0A=")</f>
        <v>#VALUE!</v>
      </c>
      <c r="BN61" t="e">
        <f>AND(Birds!FF31,"AAAAAFHPf0E=")</f>
        <v>#VALUE!</v>
      </c>
      <c r="BO61" t="e">
        <f>AND(Birds!FG31,"AAAAAFHPf0I=")</f>
        <v>#VALUE!</v>
      </c>
      <c r="BP61" t="e">
        <f>AND(Birds!FH31,"AAAAAFHPf0M=")</f>
        <v>#VALUE!</v>
      </c>
      <c r="BQ61" t="e">
        <f>AND(Birds!FI31,"AAAAAFHPf0Q=")</f>
        <v>#VALUE!</v>
      </c>
      <c r="BR61" t="e">
        <f>AND(Birds!FJ31,"AAAAAFHPf0U=")</f>
        <v>#VALUE!</v>
      </c>
      <c r="BS61" t="e">
        <f>AND(Birds!FK31,"AAAAAFHPf0Y=")</f>
        <v>#VALUE!</v>
      </c>
      <c r="BT61" t="e">
        <f>AND(Birds!FL31,"AAAAAFHPf0c=")</f>
        <v>#VALUE!</v>
      </c>
      <c r="BU61" t="e">
        <f>AND(Birds!FM31,"AAAAAFHPf0g=")</f>
        <v>#VALUE!</v>
      </c>
      <c r="BV61" t="e">
        <f>AND(Birds!FN31,"AAAAAFHPf0k=")</f>
        <v>#VALUE!</v>
      </c>
      <c r="BW61" t="e">
        <f>AND(Birds!FO31,"AAAAAFHPf0o=")</f>
        <v>#VALUE!</v>
      </c>
      <c r="BX61" t="e">
        <f>AND(Birds!FP31,"AAAAAFHPf0s=")</f>
        <v>#VALUE!</v>
      </c>
      <c r="BY61" t="e">
        <f>AND(Birds!FQ31,"AAAAAFHPf0w=")</f>
        <v>#VALUE!</v>
      </c>
      <c r="BZ61" t="e">
        <f>AND(Birds!FR31,"AAAAAFHPf00=")</f>
        <v>#VALUE!</v>
      </c>
      <c r="CA61" t="e">
        <f>AND(Birds!FS31,"AAAAAFHPf04=")</f>
        <v>#VALUE!</v>
      </c>
      <c r="CB61" t="e">
        <f>AND(Birds!FT31,"AAAAAFHPf08=")</f>
        <v>#VALUE!</v>
      </c>
      <c r="CC61" t="e">
        <f>AND(Birds!FU31,"AAAAAFHPf1A=")</f>
        <v>#VALUE!</v>
      </c>
      <c r="CD61" t="e">
        <f>AND(Birds!FV31,"AAAAAFHPf1E=")</f>
        <v>#VALUE!</v>
      </c>
      <c r="CE61" t="e">
        <f>AND(Birds!FW31,"AAAAAFHPf1I=")</f>
        <v>#VALUE!</v>
      </c>
      <c r="CF61" t="e">
        <f>AND(Birds!FX31,"AAAAAFHPf1M=")</f>
        <v>#VALUE!</v>
      </c>
      <c r="CG61" t="e">
        <f>AND(Birds!FY31,"AAAAAFHPf1Q=")</f>
        <v>#VALUE!</v>
      </c>
      <c r="CH61" t="e">
        <f>AND(Birds!FZ31,"AAAAAFHPf1U=")</f>
        <v>#VALUE!</v>
      </c>
      <c r="CI61" t="e">
        <f>AND(Birds!GA31,"AAAAAFHPf1Y=")</f>
        <v>#VALUE!</v>
      </c>
      <c r="CJ61" t="e">
        <f>AND(Birds!GB31,"AAAAAFHPf1c=")</f>
        <v>#VALUE!</v>
      </c>
      <c r="CK61" t="e">
        <f>AND(Birds!GC31,"AAAAAFHPf1g=")</f>
        <v>#VALUE!</v>
      </c>
      <c r="CL61" t="e">
        <f>AND(Birds!GD31,"AAAAAFHPf1k=")</f>
        <v>#VALUE!</v>
      </c>
      <c r="CM61" t="e">
        <f>AND(Birds!GE31,"AAAAAFHPf1o=")</f>
        <v>#VALUE!</v>
      </c>
      <c r="CN61" t="e">
        <f>AND(Birds!GF31,"AAAAAFHPf1s=")</f>
        <v>#VALUE!</v>
      </c>
      <c r="CO61" t="e">
        <f>AND(Birds!GG31,"AAAAAFHPf1w=")</f>
        <v>#VALUE!</v>
      </c>
      <c r="CP61" t="e">
        <f>AND(Birds!GH31,"AAAAAFHPf10=")</f>
        <v>#VALUE!</v>
      </c>
      <c r="CQ61" t="e">
        <f>AND(Birds!GI31,"AAAAAFHPf14=")</f>
        <v>#VALUE!</v>
      </c>
      <c r="CR61" t="e">
        <f>AND(Birds!GJ31,"AAAAAFHPf18=")</f>
        <v>#VALUE!</v>
      </c>
      <c r="CS61" t="e">
        <f>AND(Birds!GK31,"AAAAAFHPf2A=")</f>
        <v>#VALUE!</v>
      </c>
      <c r="CT61" t="e">
        <f>AND(Birds!GL31,"AAAAAFHPf2E=")</f>
        <v>#VALUE!</v>
      </c>
      <c r="CU61" t="e">
        <f>AND(Birds!GM31,"AAAAAFHPf2I=")</f>
        <v>#VALUE!</v>
      </c>
      <c r="CV61">
        <f>IF(Birds!32:32,"AAAAAFHPf2M=",0)</f>
        <v>0</v>
      </c>
      <c r="CW61" t="e">
        <f>AND(Birds!A32,"AAAAAFHPf2Q=")</f>
        <v>#VALUE!</v>
      </c>
      <c r="CX61" t="e">
        <f>AND(Birds!B32,"AAAAAFHPf2U=")</f>
        <v>#VALUE!</v>
      </c>
      <c r="CY61" t="e">
        <f>AND(Birds!C32,"AAAAAFHPf2Y=")</f>
        <v>#VALUE!</v>
      </c>
      <c r="CZ61" t="e">
        <f>AND(Birds!D32,"AAAAAFHPf2c=")</f>
        <v>#VALUE!</v>
      </c>
      <c r="DA61" t="e">
        <f>AND(Birds!E32,"AAAAAFHPf2g=")</f>
        <v>#VALUE!</v>
      </c>
      <c r="DB61" t="e">
        <f>AND(Birds!F32,"AAAAAFHPf2k=")</f>
        <v>#VALUE!</v>
      </c>
      <c r="DC61" t="e">
        <f>AND(Birds!G32,"AAAAAFHPf2o=")</f>
        <v>#VALUE!</v>
      </c>
      <c r="DD61" t="e">
        <f>AND(Birds!H32,"AAAAAFHPf2s=")</f>
        <v>#VALUE!</v>
      </c>
      <c r="DE61" t="e">
        <f>AND(Birds!I32,"AAAAAFHPf2w=")</f>
        <v>#VALUE!</v>
      </c>
      <c r="DF61" t="e">
        <f>AND(Birds!J32,"AAAAAFHPf20=")</f>
        <v>#VALUE!</v>
      </c>
      <c r="DG61" t="e">
        <f>AND(Birds!K32,"AAAAAFHPf24=")</f>
        <v>#VALUE!</v>
      </c>
      <c r="DH61" t="e">
        <f>AND(Birds!L32,"AAAAAFHPf28=")</f>
        <v>#VALUE!</v>
      </c>
      <c r="DI61" t="e">
        <f>AND(Birds!M32,"AAAAAFHPf3A=")</f>
        <v>#VALUE!</v>
      </c>
      <c r="DJ61" t="e">
        <f>AND(Birds!N32,"AAAAAFHPf3E=")</f>
        <v>#VALUE!</v>
      </c>
      <c r="DK61" t="e">
        <f>AND(Birds!O32,"AAAAAFHPf3I=")</f>
        <v>#VALUE!</v>
      </c>
      <c r="DL61" t="e">
        <f>AND(Birds!P32,"AAAAAFHPf3M=")</f>
        <v>#VALUE!</v>
      </c>
      <c r="DM61" t="e">
        <f>AND(Birds!Q32,"AAAAAFHPf3Q=")</f>
        <v>#VALUE!</v>
      </c>
      <c r="DN61" t="e">
        <f>AND(Birds!R32,"AAAAAFHPf3U=")</f>
        <v>#VALUE!</v>
      </c>
      <c r="DO61" t="e">
        <f>AND(Birds!S32,"AAAAAFHPf3Y=")</f>
        <v>#VALUE!</v>
      </c>
      <c r="DP61" t="e">
        <f>AND(Birds!T32,"AAAAAFHPf3c=")</f>
        <v>#VALUE!</v>
      </c>
      <c r="DQ61" t="e">
        <f>AND(Birds!U32,"AAAAAFHPf3g=")</f>
        <v>#VALUE!</v>
      </c>
      <c r="DR61" t="e">
        <f>AND(Birds!V32,"AAAAAFHPf3k=")</f>
        <v>#VALUE!</v>
      </c>
      <c r="DS61" t="e">
        <f>AND(Birds!W32,"AAAAAFHPf3o=")</f>
        <v>#VALUE!</v>
      </c>
      <c r="DT61" t="e">
        <f>AND(Birds!X32,"AAAAAFHPf3s=")</f>
        <v>#VALUE!</v>
      </c>
      <c r="DU61" t="e">
        <f>AND(Birds!Y32,"AAAAAFHPf3w=")</f>
        <v>#VALUE!</v>
      </c>
      <c r="DV61" t="e">
        <f>AND(Birds!Z32,"AAAAAFHPf30=")</f>
        <v>#VALUE!</v>
      </c>
      <c r="DW61" t="e">
        <f>AND(Birds!AA32,"AAAAAFHPf34=")</f>
        <v>#VALUE!</v>
      </c>
      <c r="DX61" t="e">
        <f>AND(Birds!AB32,"AAAAAFHPf38=")</f>
        <v>#VALUE!</v>
      </c>
      <c r="DY61" t="e">
        <f>AND(Birds!AC32,"AAAAAFHPf4A=")</f>
        <v>#VALUE!</v>
      </c>
      <c r="DZ61" t="e">
        <f>AND(Birds!AD32,"AAAAAFHPf4E=")</f>
        <v>#VALUE!</v>
      </c>
      <c r="EA61" t="e">
        <f>AND(Birds!AE32,"AAAAAFHPf4I=")</f>
        <v>#VALUE!</v>
      </c>
      <c r="EB61" t="e">
        <f>AND(Birds!AF32,"AAAAAFHPf4M=")</f>
        <v>#VALUE!</v>
      </c>
      <c r="EC61" t="e">
        <f>AND(Birds!AG32,"AAAAAFHPf4Q=")</f>
        <v>#VALUE!</v>
      </c>
      <c r="ED61" t="e">
        <f>AND(Birds!AH32,"AAAAAFHPf4U=")</f>
        <v>#VALUE!</v>
      </c>
      <c r="EE61" t="e">
        <f>AND(Birds!AI32,"AAAAAFHPf4Y=")</f>
        <v>#VALUE!</v>
      </c>
      <c r="EF61" t="e">
        <f>AND(Birds!AJ32,"AAAAAFHPf4c=")</f>
        <v>#VALUE!</v>
      </c>
      <c r="EG61" t="e">
        <f>AND(Birds!AK32,"AAAAAFHPf4g=")</f>
        <v>#VALUE!</v>
      </c>
      <c r="EH61" t="e">
        <f>AND(Birds!AL32,"AAAAAFHPf4k=")</f>
        <v>#VALUE!</v>
      </c>
      <c r="EI61" t="e">
        <f>AND(Birds!AM32,"AAAAAFHPf4o=")</f>
        <v>#VALUE!</v>
      </c>
      <c r="EJ61" t="e">
        <f>AND(Birds!AN32,"AAAAAFHPf4s=")</f>
        <v>#VALUE!</v>
      </c>
      <c r="EK61" t="e">
        <f>AND(Birds!AO32,"AAAAAFHPf4w=")</f>
        <v>#VALUE!</v>
      </c>
      <c r="EL61" t="e">
        <f>AND(Birds!AP32,"AAAAAFHPf40=")</f>
        <v>#VALUE!</v>
      </c>
      <c r="EM61" t="e">
        <f>AND(Birds!AQ32,"AAAAAFHPf44=")</f>
        <v>#VALUE!</v>
      </c>
      <c r="EN61" t="e">
        <f>AND(Birds!AR32,"AAAAAFHPf48=")</f>
        <v>#VALUE!</v>
      </c>
      <c r="EO61" t="e">
        <f>AND(Birds!AS32,"AAAAAFHPf5A=")</f>
        <v>#VALUE!</v>
      </c>
      <c r="EP61" t="e">
        <f>AND(Birds!AT32,"AAAAAFHPf5E=")</f>
        <v>#VALUE!</v>
      </c>
      <c r="EQ61" t="e">
        <f>AND(Birds!AU32,"AAAAAFHPf5I=")</f>
        <v>#VALUE!</v>
      </c>
      <c r="ER61" t="e">
        <f>AND(Birds!AV32,"AAAAAFHPf5M=")</f>
        <v>#VALUE!</v>
      </c>
      <c r="ES61" t="e">
        <f>AND(Birds!AW32,"AAAAAFHPf5Q=")</f>
        <v>#VALUE!</v>
      </c>
      <c r="ET61" t="e">
        <f>AND(Birds!AX32,"AAAAAFHPf5U=")</f>
        <v>#VALUE!</v>
      </c>
      <c r="EU61" t="e">
        <f>AND(Birds!AY32,"AAAAAFHPf5Y=")</f>
        <v>#VALUE!</v>
      </c>
      <c r="EV61" t="e">
        <f>AND(Birds!AZ32,"AAAAAFHPf5c=")</f>
        <v>#VALUE!</v>
      </c>
      <c r="EW61" t="e">
        <f>AND(Birds!BA32,"AAAAAFHPf5g=")</f>
        <v>#VALUE!</v>
      </c>
      <c r="EX61" t="e">
        <f>AND(Birds!BB32,"AAAAAFHPf5k=")</f>
        <v>#VALUE!</v>
      </c>
      <c r="EY61" t="e">
        <f>AND(Birds!BC32,"AAAAAFHPf5o=")</f>
        <v>#VALUE!</v>
      </c>
      <c r="EZ61" t="e">
        <f>AND(Birds!BD32,"AAAAAFHPf5s=")</f>
        <v>#VALUE!</v>
      </c>
      <c r="FA61" t="e">
        <f>AND(Birds!BE32,"AAAAAFHPf5w=")</f>
        <v>#VALUE!</v>
      </c>
      <c r="FB61" t="e">
        <f>AND(Birds!BF32,"AAAAAFHPf50=")</f>
        <v>#VALUE!</v>
      </c>
      <c r="FC61" t="e">
        <f>AND(Birds!BG32,"AAAAAFHPf54=")</f>
        <v>#VALUE!</v>
      </c>
      <c r="FD61" t="e">
        <f>AND(Birds!BH32,"AAAAAFHPf58=")</f>
        <v>#VALUE!</v>
      </c>
      <c r="FE61" t="e">
        <f>AND(Birds!BI32,"AAAAAFHPf6A=")</f>
        <v>#VALUE!</v>
      </c>
      <c r="FF61" t="e">
        <f>AND(Birds!BJ32,"AAAAAFHPf6E=")</f>
        <v>#VALUE!</v>
      </c>
      <c r="FG61" t="e">
        <f>AND(Birds!BK32,"AAAAAFHPf6I=")</f>
        <v>#VALUE!</v>
      </c>
      <c r="FH61" t="e">
        <f>AND(Birds!BL32,"AAAAAFHPf6M=")</f>
        <v>#VALUE!</v>
      </c>
      <c r="FI61" t="e">
        <f>AND(Birds!BM32,"AAAAAFHPf6Q=")</f>
        <v>#VALUE!</v>
      </c>
      <c r="FJ61" t="e">
        <f>AND(Birds!BN32,"AAAAAFHPf6U=")</f>
        <v>#VALUE!</v>
      </c>
      <c r="FK61" t="e">
        <f>AND(Birds!BO32,"AAAAAFHPf6Y=")</f>
        <v>#VALUE!</v>
      </c>
      <c r="FL61" t="e">
        <f>AND(Birds!BP32,"AAAAAFHPf6c=")</f>
        <v>#VALUE!</v>
      </c>
      <c r="FM61" t="e">
        <f>AND(Birds!BQ32,"AAAAAFHPf6g=")</f>
        <v>#VALUE!</v>
      </c>
      <c r="FN61" t="e">
        <f>AND(Birds!BR32,"AAAAAFHPf6k=")</f>
        <v>#VALUE!</v>
      </c>
      <c r="FO61" t="e">
        <f>AND(Birds!BS32,"AAAAAFHPf6o=")</f>
        <v>#VALUE!</v>
      </c>
      <c r="FP61" t="e">
        <f>AND(Birds!BT32,"AAAAAFHPf6s=")</f>
        <v>#VALUE!</v>
      </c>
      <c r="FQ61" t="e">
        <f>AND(Birds!BU32,"AAAAAFHPf6w=")</f>
        <v>#VALUE!</v>
      </c>
      <c r="FR61" t="e">
        <f>AND(Birds!BV32,"AAAAAFHPf60=")</f>
        <v>#VALUE!</v>
      </c>
      <c r="FS61" t="e">
        <f>AND(Birds!BW32,"AAAAAFHPf64=")</f>
        <v>#VALUE!</v>
      </c>
      <c r="FT61" t="e">
        <f>AND(Birds!BX32,"AAAAAFHPf68=")</f>
        <v>#VALUE!</v>
      </c>
      <c r="FU61" t="e">
        <f>AND(Birds!BY32,"AAAAAFHPf7A=")</f>
        <v>#VALUE!</v>
      </c>
      <c r="FV61" t="e">
        <f>AND(Birds!BZ32,"AAAAAFHPf7E=")</f>
        <v>#VALUE!</v>
      </c>
      <c r="FW61" t="e">
        <f>AND(Birds!CA32,"AAAAAFHPf7I=")</f>
        <v>#VALUE!</v>
      </c>
      <c r="FX61" t="e">
        <f>AND(Birds!CB32,"AAAAAFHPf7M=")</f>
        <v>#VALUE!</v>
      </c>
      <c r="FY61" t="e">
        <f>AND(Birds!CC32,"AAAAAFHPf7Q=")</f>
        <v>#VALUE!</v>
      </c>
      <c r="FZ61" t="e">
        <f>AND(Birds!CD32,"AAAAAFHPf7U=")</f>
        <v>#VALUE!</v>
      </c>
      <c r="GA61" t="e">
        <f>AND(Birds!CE32,"AAAAAFHPf7Y=")</f>
        <v>#VALUE!</v>
      </c>
      <c r="GB61" t="e">
        <f>AND(Birds!CF32,"AAAAAFHPf7c=")</f>
        <v>#VALUE!</v>
      </c>
      <c r="GC61" t="e">
        <f>AND(Birds!CG32,"AAAAAFHPf7g=")</f>
        <v>#VALUE!</v>
      </c>
      <c r="GD61" t="e">
        <f>AND(Birds!CH32,"AAAAAFHPf7k=")</f>
        <v>#VALUE!</v>
      </c>
      <c r="GE61" t="e">
        <f>AND(Birds!CI32,"AAAAAFHPf7o=")</f>
        <v>#VALUE!</v>
      </c>
      <c r="GF61" t="e">
        <f>AND(Birds!CJ32,"AAAAAFHPf7s=")</f>
        <v>#VALUE!</v>
      </c>
      <c r="GG61" t="e">
        <f>AND(Birds!CK32,"AAAAAFHPf7w=")</f>
        <v>#VALUE!</v>
      </c>
      <c r="GH61" t="e">
        <f>AND(Birds!CL32,"AAAAAFHPf70=")</f>
        <v>#VALUE!</v>
      </c>
      <c r="GI61" t="e">
        <f>AND(Birds!CM32,"AAAAAFHPf74=")</f>
        <v>#VALUE!</v>
      </c>
      <c r="GJ61" t="e">
        <f>AND(Birds!CN32,"AAAAAFHPf78=")</f>
        <v>#VALUE!</v>
      </c>
      <c r="GK61" t="e">
        <f>AND(Birds!CO32,"AAAAAFHPf8A=")</f>
        <v>#VALUE!</v>
      </c>
      <c r="GL61" t="e">
        <f>AND(Birds!CP32,"AAAAAFHPf8E=")</f>
        <v>#VALUE!</v>
      </c>
      <c r="GM61" t="e">
        <f>AND(Birds!CQ32,"AAAAAFHPf8I=")</f>
        <v>#VALUE!</v>
      </c>
      <c r="GN61" t="e">
        <f>AND(Birds!CR32,"AAAAAFHPf8M=")</f>
        <v>#VALUE!</v>
      </c>
      <c r="GO61" t="e">
        <f>AND(Birds!CS32,"AAAAAFHPf8Q=")</f>
        <v>#VALUE!</v>
      </c>
      <c r="GP61" t="e">
        <f>AND(Birds!CT32,"AAAAAFHPf8U=")</f>
        <v>#VALUE!</v>
      </c>
      <c r="GQ61" t="e">
        <f>AND(Birds!CU32,"AAAAAFHPf8Y=")</f>
        <v>#VALUE!</v>
      </c>
      <c r="GR61" t="e">
        <f>AND(Birds!CV32,"AAAAAFHPf8c=")</f>
        <v>#VALUE!</v>
      </c>
      <c r="GS61" t="e">
        <f>AND(Birds!CW32,"AAAAAFHPf8g=")</f>
        <v>#VALUE!</v>
      </c>
      <c r="GT61" t="e">
        <f>AND(Birds!CX32,"AAAAAFHPf8k=")</f>
        <v>#VALUE!</v>
      </c>
      <c r="GU61" t="e">
        <f>AND(Birds!CY32,"AAAAAFHPf8o=")</f>
        <v>#VALUE!</v>
      </c>
      <c r="GV61" t="e">
        <f>AND(Birds!CZ32,"AAAAAFHPf8s=")</f>
        <v>#VALUE!</v>
      </c>
      <c r="GW61" t="e">
        <f>AND(Birds!DA32,"AAAAAFHPf8w=")</f>
        <v>#VALUE!</v>
      </c>
      <c r="GX61" t="e">
        <f>AND(Birds!DB32,"AAAAAFHPf80=")</f>
        <v>#VALUE!</v>
      </c>
      <c r="GY61" t="e">
        <f>AND(Birds!DC32,"AAAAAFHPf84=")</f>
        <v>#VALUE!</v>
      </c>
      <c r="GZ61" t="e">
        <f>AND(Birds!DD32,"AAAAAFHPf88=")</f>
        <v>#VALUE!</v>
      </c>
      <c r="HA61" t="e">
        <f>AND(Birds!DE32,"AAAAAFHPf9A=")</f>
        <v>#VALUE!</v>
      </c>
      <c r="HB61" t="e">
        <f>AND(Birds!DF32,"AAAAAFHPf9E=")</f>
        <v>#VALUE!</v>
      </c>
      <c r="HC61" t="e">
        <f>AND(Birds!DG32,"AAAAAFHPf9I=")</f>
        <v>#VALUE!</v>
      </c>
      <c r="HD61" t="e">
        <f>AND(Birds!DH32,"AAAAAFHPf9M=")</f>
        <v>#VALUE!</v>
      </c>
      <c r="HE61" t="e">
        <f>AND(Birds!DI32,"AAAAAFHPf9Q=")</f>
        <v>#VALUE!</v>
      </c>
      <c r="HF61" t="e">
        <f>AND(Birds!DJ32,"AAAAAFHPf9U=")</f>
        <v>#VALUE!</v>
      </c>
      <c r="HG61" t="e">
        <f>AND(Birds!DK32,"AAAAAFHPf9Y=")</f>
        <v>#VALUE!</v>
      </c>
      <c r="HH61" t="e">
        <f>AND(Birds!DL32,"AAAAAFHPf9c=")</f>
        <v>#VALUE!</v>
      </c>
      <c r="HI61" t="e">
        <f>AND(Birds!DM32,"AAAAAFHPf9g=")</f>
        <v>#VALUE!</v>
      </c>
      <c r="HJ61" t="e">
        <f>AND(Birds!DN32,"AAAAAFHPf9k=")</f>
        <v>#VALUE!</v>
      </c>
      <c r="HK61" t="e">
        <f>AND(Birds!DO32,"AAAAAFHPf9o=")</f>
        <v>#VALUE!</v>
      </c>
      <c r="HL61" t="e">
        <f>AND(Birds!DP32,"AAAAAFHPf9s=")</f>
        <v>#VALUE!</v>
      </c>
      <c r="HM61" t="e">
        <f>AND(Birds!DQ32,"AAAAAFHPf9w=")</f>
        <v>#VALUE!</v>
      </c>
      <c r="HN61" t="e">
        <f>AND(Birds!DR32,"AAAAAFHPf90=")</f>
        <v>#VALUE!</v>
      </c>
      <c r="HO61" t="e">
        <f>AND(Birds!DS32,"AAAAAFHPf94=")</f>
        <v>#VALUE!</v>
      </c>
      <c r="HP61" t="e">
        <f>AND(Birds!DT32,"AAAAAFHPf98=")</f>
        <v>#VALUE!</v>
      </c>
      <c r="HQ61" t="e">
        <f>AND(Birds!DU32,"AAAAAFHPf+A=")</f>
        <v>#VALUE!</v>
      </c>
      <c r="HR61" t="e">
        <f>AND(Birds!DV32,"AAAAAFHPf+E=")</f>
        <v>#VALUE!</v>
      </c>
      <c r="HS61" t="e">
        <f>AND(Birds!DW32,"AAAAAFHPf+I=")</f>
        <v>#VALUE!</v>
      </c>
      <c r="HT61" t="e">
        <f>AND(Birds!DX32,"AAAAAFHPf+M=")</f>
        <v>#VALUE!</v>
      </c>
      <c r="HU61" t="e">
        <f>AND(Birds!DY32,"AAAAAFHPf+Q=")</f>
        <v>#VALUE!</v>
      </c>
      <c r="HV61" t="e">
        <f>AND(Birds!DZ32,"AAAAAFHPf+U=")</f>
        <v>#VALUE!</v>
      </c>
      <c r="HW61" t="e">
        <f>AND(Birds!EA32,"AAAAAFHPf+Y=")</f>
        <v>#VALUE!</v>
      </c>
      <c r="HX61" t="e">
        <f>AND(Birds!EB32,"AAAAAFHPf+c=")</f>
        <v>#VALUE!</v>
      </c>
      <c r="HY61" t="e">
        <f>AND(Birds!EC32,"AAAAAFHPf+g=")</f>
        <v>#VALUE!</v>
      </c>
      <c r="HZ61" t="e">
        <f>AND(Birds!ED32,"AAAAAFHPf+k=")</f>
        <v>#VALUE!</v>
      </c>
      <c r="IA61" t="e">
        <f>AND(Birds!EE32,"AAAAAFHPf+o=")</f>
        <v>#VALUE!</v>
      </c>
      <c r="IB61" t="e">
        <f>AND(Birds!EF32,"AAAAAFHPf+s=")</f>
        <v>#VALUE!</v>
      </c>
      <c r="IC61" t="e">
        <f>AND(Birds!EG32,"AAAAAFHPf+w=")</f>
        <v>#VALUE!</v>
      </c>
      <c r="ID61" t="e">
        <f>AND(Birds!EH32,"AAAAAFHPf+0=")</f>
        <v>#VALUE!</v>
      </c>
      <c r="IE61" t="e">
        <f>AND(Birds!EI32,"AAAAAFHPf+4=")</f>
        <v>#VALUE!</v>
      </c>
      <c r="IF61" t="e">
        <f>AND(Birds!EJ32,"AAAAAFHPf+8=")</f>
        <v>#VALUE!</v>
      </c>
      <c r="IG61" t="e">
        <f>AND(Birds!EK32,"AAAAAFHPf/A=")</f>
        <v>#VALUE!</v>
      </c>
      <c r="IH61" t="e">
        <f>AND(Birds!EL32,"AAAAAFHPf/E=")</f>
        <v>#VALUE!</v>
      </c>
      <c r="II61" t="e">
        <f>AND(Birds!EM32,"AAAAAFHPf/I=")</f>
        <v>#VALUE!</v>
      </c>
      <c r="IJ61" t="e">
        <f>AND(Birds!EN32,"AAAAAFHPf/M=")</f>
        <v>#VALUE!</v>
      </c>
      <c r="IK61" t="e">
        <f>AND(Birds!EO32,"AAAAAFHPf/Q=")</f>
        <v>#VALUE!</v>
      </c>
      <c r="IL61" t="e">
        <f>AND(Birds!EP32,"AAAAAFHPf/U=")</f>
        <v>#VALUE!</v>
      </c>
      <c r="IM61" t="e">
        <f>AND(Birds!EQ32,"AAAAAFHPf/Y=")</f>
        <v>#VALUE!</v>
      </c>
      <c r="IN61" t="e">
        <f>AND(Birds!ER32,"AAAAAFHPf/c=")</f>
        <v>#VALUE!</v>
      </c>
      <c r="IO61" t="e">
        <f>AND(Birds!ES32,"AAAAAFHPf/g=")</f>
        <v>#VALUE!</v>
      </c>
      <c r="IP61" t="e">
        <f>AND(Birds!ET32,"AAAAAFHPf/k=")</f>
        <v>#VALUE!</v>
      </c>
      <c r="IQ61" t="e">
        <f>AND(Birds!EU32,"AAAAAFHPf/o=")</f>
        <v>#VALUE!</v>
      </c>
      <c r="IR61" t="e">
        <f>AND(Birds!EV32,"AAAAAFHPf/s=")</f>
        <v>#VALUE!</v>
      </c>
      <c r="IS61" t="e">
        <f>AND(Birds!EW32,"AAAAAFHPf/w=")</f>
        <v>#VALUE!</v>
      </c>
      <c r="IT61" t="e">
        <f>AND(Birds!EX32,"AAAAAFHPf/0=")</f>
        <v>#VALUE!</v>
      </c>
      <c r="IU61" t="e">
        <f>AND(Birds!EY32,"AAAAAFHPf/4=")</f>
        <v>#VALUE!</v>
      </c>
      <c r="IV61" t="e">
        <f>AND(Birds!EZ32,"AAAAAFHPf/8=")</f>
        <v>#VALUE!</v>
      </c>
    </row>
    <row r="62" spans="1:256">
      <c r="A62" t="e">
        <f>AND(Birds!FA32,"AAAAAHfb1wA=")</f>
        <v>#VALUE!</v>
      </c>
      <c r="B62" t="e">
        <f>AND(Birds!FB32,"AAAAAHfb1wE=")</f>
        <v>#VALUE!</v>
      </c>
      <c r="C62" t="e">
        <f>AND(Birds!FC32,"AAAAAHfb1wI=")</f>
        <v>#VALUE!</v>
      </c>
      <c r="D62" t="e">
        <f>AND(Birds!FD32,"AAAAAHfb1wM=")</f>
        <v>#VALUE!</v>
      </c>
      <c r="E62" t="e">
        <f>AND(Birds!FE32,"AAAAAHfb1wQ=")</f>
        <v>#VALUE!</v>
      </c>
      <c r="F62" t="e">
        <f>AND(Birds!FF32,"AAAAAHfb1wU=")</f>
        <v>#VALUE!</v>
      </c>
      <c r="G62" t="e">
        <f>AND(Birds!FG32,"AAAAAHfb1wY=")</f>
        <v>#VALUE!</v>
      </c>
      <c r="H62" t="e">
        <f>AND(Birds!FH32,"AAAAAHfb1wc=")</f>
        <v>#VALUE!</v>
      </c>
      <c r="I62" t="e">
        <f>AND(Birds!FI32,"AAAAAHfb1wg=")</f>
        <v>#VALUE!</v>
      </c>
      <c r="J62" t="e">
        <f>AND(Birds!FJ32,"AAAAAHfb1wk=")</f>
        <v>#VALUE!</v>
      </c>
      <c r="K62" t="e">
        <f>AND(Birds!FK32,"AAAAAHfb1wo=")</f>
        <v>#VALUE!</v>
      </c>
      <c r="L62" t="e">
        <f>AND(Birds!FL32,"AAAAAHfb1ws=")</f>
        <v>#VALUE!</v>
      </c>
      <c r="M62" t="e">
        <f>AND(Birds!FM32,"AAAAAHfb1ww=")</f>
        <v>#VALUE!</v>
      </c>
      <c r="N62" t="e">
        <f>AND(Birds!FN32,"AAAAAHfb1w0=")</f>
        <v>#VALUE!</v>
      </c>
      <c r="O62" t="e">
        <f>AND(Birds!FO32,"AAAAAHfb1w4=")</f>
        <v>#VALUE!</v>
      </c>
      <c r="P62" t="e">
        <f>AND(Birds!FP32,"AAAAAHfb1w8=")</f>
        <v>#VALUE!</v>
      </c>
      <c r="Q62" t="e">
        <f>AND(Birds!FQ32,"AAAAAHfb1xA=")</f>
        <v>#VALUE!</v>
      </c>
      <c r="R62" t="e">
        <f>AND(Birds!FR32,"AAAAAHfb1xE=")</f>
        <v>#VALUE!</v>
      </c>
      <c r="S62" t="e">
        <f>AND(Birds!FS32,"AAAAAHfb1xI=")</f>
        <v>#VALUE!</v>
      </c>
      <c r="T62" t="e">
        <f>AND(Birds!FT32,"AAAAAHfb1xM=")</f>
        <v>#VALUE!</v>
      </c>
      <c r="U62" t="e">
        <f>AND(Birds!FU32,"AAAAAHfb1xQ=")</f>
        <v>#VALUE!</v>
      </c>
      <c r="V62" t="e">
        <f>AND(Birds!FV32,"AAAAAHfb1xU=")</f>
        <v>#VALUE!</v>
      </c>
      <c r="W62" t="e">
        <f>AND(Birds!FW32,"AAAAAHfb1xY=")</f>
        <v>#VALUE!</v>
      </c>
      <c r="X62" t="e">
        <f>AND(Birds!FX32,"AAAAAHfb1xc=")</f>
        <v>#VALUE!</v>
      </c>
      <c r="Y62" t="e">
        <f>AND(Birds!FY32,"AAAAAHfb1xg=")</f>
        <v>#VALUE!</v>
      </c>
      <c r="Z62" t="e">
        <f>AND(Birds!FZ32,"AAAAAHfb1xk=")</f>
        <v>#VALUE!</v>
      </c>
      <c r="AA62" t="e">
        <f>AND(Birds!GA32,"AAAAAHfb1xo=")</f>
        <v>#VALUE!</v>
      </c>
      <c r="AB62" t="e">
        <f>AND(Birds!GB32,"AAAAAHfb1xs=")</f>
        <v>#VALUE!</v>
      </c>
      <c r="AC62" t="e">
        <f>AND(Birds!GC32,"AAAAAHfb1xw=")</f>
        <v>#VALUE!</v>
      </c>
      <c r="AD62" t="e">
        <f>AND(Birds!GD32,"AAAAAHfb1x0=")</f>
        <v>#VALUE!</v>
      </c>
      <c r="AE62" t="e">
        <f>AND(Birds!GE32,"AAAAAHfb1x4=")</f>
        <v>#VALUE!</v>
      </c>
      <c r="AF62" t="e">
        <f>AND(Birds!GF32,"AAAAAHfb1x8=")</f>
        <v>#VALUE!</v>
      </c>
      <c r="AG62" t="e">
        <f>AND(Birds!GG32,"AAAAAHfb1yA=")</f>
        <v>#VALUE!</v>
      </c>
      <c r="AH62" t="e">
        <f>AND(Birds!GH32,"AAAAAHfb1yE=")</f>
        <v>#VALUE!</v>
      </c>
      <c r="AI62" t="e">
        <f>AND(Birds!GI32,"AAAAAHfb1yI=")</f>
        <v>#VALUE!</v>
      </c>
      <c r="AJ62" t="e">
        <f>AND(Birds!GJ32,"AAAAAHfb1yM=")</f>
        <v>#VALUE!</v>
      </c>
      <c r="AK62" t="e">
        <f>AND(Birds!GK32,"AAAAAHfb1yQ=")</f>
        <v>#VALUE!</v>
      </c>
      <c r="AL62" t="e">
        <f>AND(Birds!GL32,"AAAAAHfb1yU=")</f>
        <v>#VALUE!</v>
      </c>
      <c r="AM62" t="e">
        <f>AND(Birds!GM32,"AAAAAHfb1yY=")</f>
        <v>#VALUE!</v>
      </c>
      <c r="AN62">
        <f>IF(Birds!33:33,"AAAAAHfb1yc=",0)</f>
        <v>0</v>
      </c>
      <c r="AO62" t="e">
        <f>AND(Birds!A33,"AAAAAHfb1yg=")</f>
        <v>#VALUE!</v>
      </c>
      <c r="AP62" t="e">
        <f>AND(Birds!B33,"AAAAAHfb1yk=")</f>
        <v>#VALUE!</v>
      </c>
      <c r="AQ62" t="e">
        <f>AND(Birds!C33,"AAAAAHfb1yo=")</f>
        <v>#VALUE!</v>
      </c>
      <c r="AR62" t="e">
        <f>AND(Birds!D33,"AAAAAHfb1ys=")</f>
        <v>#VALUE!</v>
      </c>
      <c r="AS62" t="e">
        <f>AND(Birds!E33,"AAAAAHfb1yw=")</f>
        <v>#VALUE!</v>
      </c>
      <c r="AT62" t="e">
        <f>AND(Birds!F33,"AAAAAHfb1y0=")</f>
        <v>#VALUE!</v>
      </c>
      <c r="AU62" t="e">
        <f>AND(Birds!G33,"AAAAAHfb1y4=")</f>
        <v>#VALUE!</v>
      </c>
      <c r="AV62" t="e">
        <f>AND(Birds!H33,"AAAAAHfb1y8=")</f>
        <v>#VALUE!</v>
      </c>
      <c r="AW62" t="e">
        <f>AND(Birds!I33,"AAAAAHfb1zA=")</f>
        <v>#VALUE!</v>
      </c>
      <c r="AX62" t="e">
        <f>AND(Birds!J33,"AAAAAHfb1zE=")</f>
        <v>#VALUE!</v>
      </c>
      <c r="AY62" t="e">
        <f>AND(Birds!K33,"AAAAAHfb1zI=")</f>
        <v>#VALUE!</v>
      </c>
      <c r="AZ62" t="e">
        <f>AND(Birds!L33,"AAAAAHfb1zM=")</f>
        <v>#VALUE!</v>
      </c>
      <c r="BA62" t="e">
        <f>AND(Birds!M33,"AAAAAHfb1zQ=")</f>
        <v>#VALUE!</v>
      </c>
      <c r="BB62" t="e">
        <f>AND(Birds!N33,"AAAAAHfb1zU=")</f>
        <v>#VALUE!</v>
      </c>
      <c r="BC62" t="e">
        <f>AND(Birds!O33,"AAAAAHfb1zY=")</f>
        <v>#VALUE!</v>
      </c>
      <c r="BD62" t="e">
        <f>AND(Birds!P33,"AAAAAHfb1zc=")</f>
        <v>#VALUE!</v>
      </c>
      <c r="BE62" t="e">
        <f>AND(Birds!Q33,"AAAAAHfb1zg=")</f>
        <v>#VALUE!</v>
      </c>
      <c r="BF62" t="e">
        <f>AND(Birds!R33,"AAAAAHfb1zk=")</f>
        <v>#VALUE!</v>
      </c>
      <c r="BG62" t="e">
        <f>AND(Birds!S33,"AAAAAHfb1zo=")</f>
        <v>#VALUE!</v>
      </c>
      <c r="BH62" t="e">
        <f>AND(Birds!T33,"AAAAAHfb1zs=")</f>
        <v>#VALUE!</v>
      </c>
      <c r="BI62" t="e">
        <f>AND(Birds!U33,"AAAAAHfb1zw=")</f>
        <v>#VALUE!</v>
      </c>
      <c r="BJ62" t="e">
        <f>AND(Birds!V33,"AAAAAHfb1z0=")</f>
        <v>#VALUE!</v>
      </c>
      <c r="BK62" t="e">
        <f>AND(Birds!W33,"AAAAAHfb1z4=")</f>
        <v>#VALUE!</v>
      </c>
      <c r="BL62" t="e">
        <f>AND(Birds!X33,"AAAAAHfb1z8=")</f>
        <v>#VALUE!</v>
      </c>
      <c r="BM62" t="e">
        <f>AND(Birds!Y33,"AAAAAHfb10A=")</f>
        <v>#VALUE!</v>
      </c>
      <c r="BN62" t="e">
        <f>AND(Birds!Z33,"AAAAAHfb10E=")</f>
        <v>#VALUE!</v>
      </c>
      <c r="BO62" t="e">
        <f>AND(Birds!AA33,"AAAAAHfb10I=")</f>
        <v>#VALUE!</v>
      </c>
      <c r="BP62" t="e">
        <f>AND(Birds!AB33,"AAAAAHfb10M=")</f>
        <v>#VALUE!</v>
      </c>
      <c r="BQ62" t="e">
        <f>AND(Birds!AC33,"AAAAAHfb10Q=")</f>
        <v>#VALUE!</v>
      </c>
      <c r="BR62" t="e">
        <f>AND(Birds!AD33,"AAAAAHfb10U=")</f>
        <v>#VALUE!</v>
      </c>
      <c r="BS62" t="e">
        <f>AND(Birds!AE33,"AAAAAHfb10Y=")</f>
        <v>#VALUE!</v>
      </c>
      <c r="BT62" t="e">
        <f>AND(Birds!AF33,"AAAAAHfb10c=")</f>
        <v>#VALUE!</v>
      </c>
      <c r="BU62" t="e">
        <f>AND(Birds!AG33,"AAAAAHfb10g=")</f>
        <v>#VALUE!</v>
      </c>
      <c r="BV62" t="e">
        <f>AND(Birds!AH33,"AAAAAHfb10k=")</f>
        <v>#VALUE!</v>
      </c>
      <c r="BW62" t="e">
        <f>AND(Birds!AI33,"AAAAAHfb10o=")</f>
        <v>#VALUE!</v>
      </c>
      <c r="BX62" t="e">
        <f>AND(Birds!AJ33,"AAAAAHfb10s=")</f>
        <v>#VALUE!</v>
      </c>
      <c r="BY62" t="e">
        <f>AND(Birds!AK33,"AAAAAHfb10w=")</f>
        <v>#VALUE!</v>
      </c>
      <c r="BZ62" t="e">
        <f>AND(Birds!AL33,"AAAAAHfb100=")</f>
        <v>#VALUE!</v>
      </c>
      <c r="CA62" t="e">
        <f>AND(Birds!AM33,"AAAAAHfb104=")</f>
        <v>#VALUE!</v>
      </c>
      <c r="CB62" t="e">
        <f>AND(Birds!AN33,"AAAAAHfb108=")</f>
        <v>#VALUE!</v>
      </c>
      <c r="CC62" t="e">
        <f>AND(Birds!AO33,"AAAAAHfb11A=")</f>
        <v>#VALUE!</v>
      </c>
      <c r="CD62" t="e">
        <f>AND(Birds!AP33,"AAAAAHfb11E=")</f>
        <v>#VALUE!</v>
      </c>
      <c r="CE62" t="e">
        <f>AND(Birds!AQ33,"AAAAAHfb11I=")</f>
        <v>#VALUE!</v>
      </c>
      <c r="CF62" t="e">
        <f>AND(Birds!AR33,"AAAAAHfb11M=")</f>
        <v>#VALUE!</v>
      </c>
      <c r="CG62" t="e">
        <f>AND(Birds!AS33,"AAAAAHfb11Q=")</f>
        <v>#VALUE!</v>
      </c>
      <c r="CH62" t="e">
        <f>AND(Birds!AT33,"AAAAAHfb11U=")</f>
        <v>#VALUE!</v>
      </c>
      <c r="CI62" t="e">
        <f>AND(Birds!AU33,"AAAAAHfb11Y=")</f>
        <v>#VALUE!</v>
      </c>
      <c r="CJ62" t="e">
        <f>AND(Birds!AV33,"AAAAAHfb11c=")</f>
        <v>#VALUE!</v>
      </c>
      <c r="CK62" t="e">
        <f>AND(Birds!AW33,"AAAAAHfb11g=")</f>
        <v>#VALUE!</v>
      </c>
      <c r="CL62" t="e">
        <f>AND(Birds!AX33,"AAAAAHfb11k=")</f>
        <v>#VALUE!</v>
      </c>
      <c r="CM62" t="e">
        <f>AND(Birds!AY33,"AAAAAHfb11o=")</f>
        <v>#VALUE!</v>
      </c>
      <c r="CN62" t="e">
        <f>AND(Birds!AZ33,"AAAAAHfb11s=")</f>
        <v>#VALUE!</v>
      </c>
      <c r="CO62" t="e">
        <f>AND(Birds!BA33,"AAAAAHfb11w=")</f>
        <v>#VALUE!</v>
      </c>
      <c r="CP62" t="e">
        <f>AND(Birds!BB33,"AAAAAHfb110=")</f>
        <v>#VALUE!</v>
      </c>
      <c r="CQ62" t="e">
        <f>AND(Birds!BC33,"AAAAAHfb114=")</f>
        <v>#VALUE!</v>
      </c>
      <c r="CR62" t="e">
        <f>AND(Birds!BD33,"AAAAAHfb118=")</f>
        <v>#VALUE!</v>
      </c>
      <c r="CS62" t="e">
        <f>AND(Birds!BE33,"AAAAAHfb12A=")</f>
        <v>#VALUE!</v>
      </c>
      <c r="CT62" t="e">
        <f>AND(Birds!BF33,"AAAAAHfb12E=")</f>
        <v>#VALUE!</v>
      </c>
      <c r="CU62" t="e">
        <f>AND(Birds!BG33,"AAAAAHfb12I=")</f>
        <v>#VALUE!</v>
      </c>
      <c r="CV62" t="e">
        <f>AND(Birds!BH33,"AAAAAHfb12M=")</f>
        <v>#VALUE!</v>
      </c>
      <c r="CW62" t="e">
        <f>AND(Birds!BI33,"AAAAAHfb12Q=")</f>
        <v>#VALUE!</v>
      </c>
      <c r="CX62" t="e">
        <f>AND(Birds!BJ33,"AAAAAHfb12U=")</f>
        <v>#VALUE!</v>
      </c>
      <c r="CY62" t="e">
        <f>AND(Birds!BK33,"AAAAAHfb12Y=")</f>
        <v>#VALUE!</v>
      </c>
      <c r="CZ62" t="e">
        <f>AND(Birds!BL33,"AAAAAHfb12c=")</f>
        <v>#VALUE!</v>
      </c>
      <c r="DA62" t="e">
        <f>AND(Birds!BM33,"AAAAAHfb12g=")</f>
        <v>#VALUE!</v>
      </c>
      <c r="DB62" t="e">
        <f>AND(Birds!BN33,"AAAAAHfb12k=")</f>
        <v>#VALUE!</v>
      </c>
      <c r="DC62" t="e">
        <f>AND(Birds!BO33,"AAAAAHfb12o=")</f>
        <v>#VALUE!</v>
      </c>
      <c r="DD62" t="e">
        <f>AND(Birds!BP33,"AAAAAHfb12s=")</f>
        <v>#VALUE!</v>
      </c>
      <c r="DE62" t="e">
        <f>AND(Birds!BQ33,"AAAAAHfb12w=")</f>
        <v>#VALUE!</v>
      </c>
      <c r="DF62" t="e">
        <f>AND(Birds!BR33,"AAAAAHfb120=")</f>
        <v>#VALUE!</v>
      </c>
      <c r="DG62" t="e">
        <f>AND(Birds!BS33,"AAAAAHfb124=")</f>
        <v>#VALUE!</v>
      </c>
      <c r="DH62" t="e">
        <f>AND(Birds!BT33,"AAAAAHfb128=")</f>
        <v>#VALUE!</v>
      </c>
      <c r="DI62" t="e">
        <f>AND(Birds!BU33,"AAAAAHfb13A=")</f>
        <v>#VALUE!</v>
      </c>
      <c r="DJ62" t="e">
        <f>AND(Birds!BV33,"AAAAAHfb13E=")</f>
        <v>#VALUE!</v>
      </c>
      <c r="DK62" t="e">
        <f>AND(Birds!BW33,"AAAAAHfb13I=")</f>
        <v>#VALUE!</v>
      </c>
      <c r="DL62" t="e">
        <f>AND(Birds!BX33,"AAAAAHfb13M=")</f>
        <v>#VALUE!</v>
      </c>
      <c r="DM62" t="e">
        <f>AND(Birds!BY33,"AAAAAHfb13Q=")</f>
        <v>#VALUE!</v>
      </c>
      <c r="DN62" t="e">
        <f>AND(Birds!BZ33,"AAAAAHfb13U=")</f>
        <v>#VALUE!</v>
      </c>
      <c r="DO62" t="e">
        <f>AND(Birds!CA33,"AAAAAHfb13Y=")</f>
        <v>#VALUE!</v>
      </c>
      <c r="DP62" t="e">
        <f>AND(Birds!CB33,"AAAAAHfb13c=")</f>
        <v>#VALUE!</v>
      </c>
      <c r="DQ62" t="e">
        <f>AND(Birds!CC33,"AAAAAHfb13g=")</f>
        <v>#VALUE!</v>
      </c>
      <c r="DR62" t="e">
        <f>AND(Birds!CD33,"AAAAAHfb13k=")</f>
        <v>#VALUE!</v>
      </c>
      <c r="DS62" t="e">
        <f>AND(Birds!CE33,"AAAAAHfb13o=")</f>
        <v>#VALUE!</v>
      </c>
      <c r="DT62" t="e">
        <f>AND(Birds!CF33,"AAAAAHfb13s=")</f>
        <v>#VALUE!</v>
      </c>
      <c r="DU62" t="e">
        <f>AND(Birds!CG33,"AAAAAHfb13w=")</f>
        <v>#VALUE!</v>
      </c>
      <c r="DV62" t="e">
        <f>AND(Birds!CH33,"AAAAAHfb130=")</f>
        <v>#VALUE!</v>
      </c>
      <c r="DW62" t="e">
        <f>AND(Birds!CI33,"AAAAAHfb134=")</f>
        <v>#VALUE!</v>
      </c>
      <c r="DX62" t="e">
        <f>AND(Birds!CJ33,"AAAAAHfb138=")</f>
        <v>#VALUE!</v>
      </c>
      <c r="DY62" t="e">
        <f>AND(Birds!CK33,"AAAAAHfb14A=")</f>
        <v>#VALUE!</v>
      </c>
      <c r="DZ62" t="e">
        <f>AND(Birds!CL33,"AAAAAHfb14E=")</f>
        <v>#VALUE!</v>
      </c>
      <c r="EA62" t="e">
        <f>AND(Birds!CM33,"AAAAAHfb14I=")</f>
        <v>#VALUE!</v>
      </c>
      <c r="EB62" t="e">
        <f>AND(Birds!CN33,"AAAAAHfb14M=")</f>
        <v>#VALUE!</v>
      </c>
      <c r="EC62" t="e">
        <f>AND(Birds!CO33,"AAAAAHfb14Q=")</f>
        <v>#VALUE!</v>
      </c>
      <c r="ED62" t="e">
        <f>AND(Birds!CP33,"AAAAAHfb14U=")</f>
        <v>#VALUE!</v>
      </c>
      <c r="EE62" t="e">
        <f>AND(Birds!CQ33,"AAAAAHfb14Y=")</f>
        <v>#VALUE!</v>
      </c>
      <c r="EF62" t="e">
        <f>AND(Birds!CR33,"AAAAAHfb14c=")</f>
        <v>#VALUE!</v>
      </c>
      <c r="EG62" t="e">
        <f>AND(Birds!CS33,"AAAAAHfb14g=")</f>
        <v>#VALUE!</v>
      </c>
      <c r="EH62" t="e">
        <f>AND(Birds!CT33,"AAAAAHfb14k=")</f>
        <v>#VALUE!</v>
      </c>
      <c r="EI62" t="e">
        <f>AND(Birds!CU33,"AAAAAHfb14o=")</f>
        <v>#VALUE!</v>
      </c>
      <c r="EJ62" t="e">
        <f>AND(Birds!CV33,"AAAAAHfb14s=")</f>
        <v>#VALUE!</v>
      </c>
      <c r="EK62" t="e">
        <f>AND(Birds!CW33,"AAAAAHfb14w=")</f>
        <v>#VALUE!</v>
      </c>
      <c r="EL62" t="e">
        <f>AND(Birds!CX33,"AAAAAHfb140=")</f>
        <v>#VALUE!</v>
      </c>
      <c r="EM62" t="e">
        <f>AND(Birds!CY33,"AAAAAHfb144=")</f>
        <v>#VALUE!</v>
      </c>
      <c r="EN62" t="e">
        <f>AND(Birds!CZ33,"AAAAAHfb148=")</f>
        <v>#VALUE!</v>
      </c>
      <c r="EO62" t="e">
        <f>AND(Birds!DA33,"AAAAAHfb15A=")</f>
        <v>#VALUE!</v>
      </c>
      <c r="EP62" t="e">
        <f>AND(Birds!DB33,"AAAAAHfb15E=")</f>
        <v>#VALUE!</v>
      </c>
      <c r="EQ62" t="e">
        <f>AND(Birds!DC33,"AAAAAHfb15I=")</f>
        <v>#VALUE!</v>
      </c>
      <c r="ER62" t="e">
        <f>AND(Birds!DD33,"AAAAAHfb15M=")</f>
        <v>#VALUE!</v>
      </c>
      <c r="ES62" t="e">
        <f>AND(Birds!DE33,"AAAAAHfb15Q=")</f>
        <v>#VALUE!</v>
      </c>
      <c r="ET62" t="e">
        <f>AND(Birds!DF33,"AAAAAHfb15U=")</f>
        <v>#VALUE!</v>
      </c>
      <c r="EU62" t="e">
        <f>AND(Birds!DG33,"AAAAAHfb15Y=")</f>
        <v>#VALUE!</v>
      </c>
      <c r="EV62" t="e">
        <f>AND(Birds!DH33,"AAAAAHfb15c=")</f>
        <v>#VALUE!</v>
      </c>
      <c r="EW62" t="e">
        <f>AND(Birds!DI33,"AAAAAHfb15g=")</f>
        <v>#VALUE!</v>
      </c>
      <c r="EX62" t="e">
        <f>AND(Birds!DJ33,"AAAAAHfb15k=")</f>
        <v>#VALUE!</v>
      </c>
      <c r="EY62" t="e">
        <f>AND(Birds!DK33,"AAAAAHfb15o=")</f>
        <v>#VALUE!</v>
      </c>
      <c r="EZ62" t="e">
        <f>AND(Birds!DL33,"AAAAAHfb15s=")</f>
        <v>#VALUE!</v>
      </c>
      <c r="FA62" t="e">
        <f>AND(Birds!DM33,"AAAAAHfb15w=")</f>
        <v>#VALUE!</v>
      </c>
      <c r="FB62" t="e">
        <f>AND(Birds!DN33,"AAAAAHfb150=")</f>
        <v>#VALUE!</v>
      </c>
      <c r="FC62" t="e">
        <f>AND(Birds!DO33,"AAAAAHfb154=")</f>
        <v>#VALUE!</v>
      </c>
      <c r="FD62" t="e">
        <f>AND(Birds!DP33,"AAAAAHfb158=")</f>
        <v>#VALUE!</v>
      </c>
      <c r="FE62" t="e">
        <f>AND(Birds!DQ33,"AAAAAHfb16A=")</f>
        <v>#VALUE!</v>
      </c>
      <c r="FF62" t="e">
        <f>AND(Birds!DR33,"AAAAAHfb16E=")</f>
        <v>#VALUE!</v>
      </c>
      <c r="FG62" t="e">
        <f>AND(Birds!DS33,"AAAAAHfb16I=")</f>
        <v>#VALUE!</v>
      </c>
      <c r="FH62" t="e">
        <f>AND(Birds!DT33,"AAAAAHfb16M=")</f>
        <v>#VALUE!</v>
      </c>
      <c r="FI62" t="e">
        <f>AND(Birds!DU33,"AAAAAHfb16Q=")</f>
        <v>#VALUE!</v>
      </c>
      <c r="FJ62" t="e">
        <f>AND(Birds!DV33,"AAAAAHfb16U=")</f>
        <v>#VALUE!</v>
      </c>
      <c r="FK62" t="e">
        <f>AND(Birds!DW33,"AAAAAHfb16Y=")</f>
        <v>#VALUE!</v>
      </c>
      <c r="FL62" t="e">
        <f>AND(Birds!DX33,"AAAAAHfb16c=")</f>
        <v>#VALUE!</v>
      </c>
      <c r="FM62" t="e">
        <f>AND(Birds!DY33,"AAAAAHfb16g=")</f>
        <v>#VALUE!</v>
      </c>
      <c r="FN62" t="e">
        <f>AND(Birds!DZ33,"AAAAAHfb16k=")</f>
        <v>#VALUE!</v>
      </c>
      <c r="FO62" t="e">
        <f>AND(Birds!EA33,"AAAAAHfb16o=")</f>
        <v>#VALUE!</v>
      </c>
      <c r="FP62" t="e">
        <f>AND(Birds!EB33,"AAAAAHfb16s=")</f>
        <v>#VALUE!</v>
      </c>
      <c r="FQ62" t="e">
        <f>AND(Birds!EC33,"AAAAAHfb16w=")</f>
        <v>#VALUE!</v>
      </c>
      <c r="FR62" t="e">
        <f>AND(Birds!ED33,"AAAAAHfb160=")</f>
        <v>#VALUE!</v>
      </c>
      <c r="FS62" t="e">
        <f>AND(Birds!EE33,"AAAAAHfb164=")</f>
        <v>#VALUE!</v>
      </c>
      <c r="FT62" t="e">
        <f>AND(Birds!EF33,"AAAAAHfb168=")</f>
        <v>#VALUE!</v>
      </c>
      <c r="FU62" t="e">
        <f>AND(Birds!EG33,"AAAAAHfb17A=")</f>
        <v>#VALUE!</v>
      </c>
      <c r="FV62" t="e">
        <f>AND(Birds!EH33,"AAAAAHfb17E=")</f>
        <v>#VALUE!</v>
      </c>
      <c r="FW62" t="e">
        <f>AND(Birds!EI33,"AAAAAHfb17I=")</f>
        <v>#VALUE!</v>
      </c>
      <c r="FX62" t="e">
        <f>AND(Birds!EJ33,"AAAAAHfb17M=")</f>
        <v>#VALUE!</v>
      </c>
      <c r="FY62" t="e">
        <f>AND(Birds!EK33,"AAAAAHfb17Q=")</f>
        <v>#VALUE!</v>
      </c>
      <c r="FZ62" t="e">
        <f>AND(Birds!EL33,"AAAAAHfb17U=")</f>
        <v>#VALUE!</v>
      </c>
      <c r="GA62" t="e">
        <f>AND(Birds!EM33,"AAAAAHfb17Y=")</f>
        <v>#VALUE!</v>
      </c>
      <c r="GB62" t="e">
        <f>AND(Birds!EN33,"AAAAAHfb17c=")</f>
        <v>#VALUE!</v>
      </c>
      <c r="GC62" t="e">
        <f>AND(Birds!EO33,"AAAAAHfb17g=")</f>
        <v>#VALUE!</v>
      </c>
      <c r="GD62" t="e">
        <f>AND(Birds!EP33,"AAAAAHfb17k=")</f>
        <v>#VALUE!</v>
      </c>
      <c r="GE62" t="e">
        <f>AND(Birds!EQ33,"AAAAAHfb17o=")</f>
        <v>#VALUE!</v>
      </c>
      <c r="GF62" t="e">
        <f>AND(Birds!ER33,"AAAAAHfb17s=")</f>
        <v>#VALUE!</v>
      </c>
      <c r="GG62" t="e">
        <f>AND(Birds!ES33,"AAAAAHfb17w=")</f>
        <v>#VALUE!</v>
      </c>
      <c r="GH62" t="e">
        <f>AND(Birds!ET33,"AAAAAHfb170=")</f>
        <v>#VALUE!</v>
      </c>
      <c r="GI62" t="e">
        <f>AND(Birds!EU33,"AAAAAHfb174=")</f>
        <v>#VALUE!</v>
      </c>
      <c r="GJ62" t="e">
        <f>AND(Birds!EV33,"AAAAAHfb178=")</f>
        <v>#VALUE!</v>
      </c>
      <c r="GK62" t="e">
        <f>AND(Birds!EW33,"AAAAAHfb18A=")</f>
        <v>#VALUE!</v>
      </c>
      <c r="GL62" t="e">
        <f>AND(Birds!EX33,"AAAAAHfb18E=")</f>
        <v>#VALUE!</v>
      </c>
      <c r="GM62" t="e">
        <f>AND(Birds!EY33,"AAAAAHfb18I=")</f>
        <v>#VALUE!</v>
      </c>
      <c r="GN62" t="e">
        <f>AND(Birds!EZ33,"AAAAAHfb18M=")</f>
        <v>#VALUE!</v>
      </c>
      <c r="GO62" t="e">
        <f>AND(Birds!FA33,"AAAAAHfb18Q=")</f>
        <v>#VALUE!</v>
      </c>
      <c r="GP62" t="e">
        <f>AND(Birds!FB33,"AAAAAHfb18U=")</f>
        <v>#VALUE!</v>
      </c>
      <c r="GQ62" t="e">
        <f>AND(Birds!FC33,"AAAAAHfb18Y=")</f>
        <v>#VALUE!</v>
      </c>
      <c r="GR62" t="e">
        <f>AND(Birds!FD33,"AAAAAHfb18c=")</f>
        <v>#VALUE!</v>
      </c>
      <c r="GS62" t="e">
        <f>AND(Birds!FE33,"AAAAAHfb18g=")</f>
        <v>#VALUE!</v>
      </c>
      <c r="GT62" t="e">
        <f>AND(Birds!FF33,"AAAAAHfb18k=")</f>
        <v>#VALUE!</v>
      </c>
      <c r="GU62" t="e">
        <f>AND(Birds!FG33,"AAAAAHfb18o=")</f>
        <v>#VALUE!</v>
      </c>
      <c r="GV62" t="e">
        <f>AND(Birds!FH33,"AAAAAHfb18s=")</f>
        <v>#VALUE!</v>
      </c>
      <c r="GW62" t="e">
        <f>AND(Birds!FI33,"AAAAAHfb18w=")</f>
        <v>#VALUE!</v>
      </c>
      <c r="GX62" t="e">
        <f>AND(Birds!FJ33,"AAAAAHfb180=")</f>
        <v>#VALUE!</v>
      </c>
      <c r="GY62" t="e">
        <f>AND(Birds!FK33,"AAAAAHfb184=")</f>
        <v>#VALUE!</v>
      </c>
      <c r="GZ62" t="e">
        <f>AND(Birds!FL33,"AAAAAHfb188=")</f>
        <v>#VALUE!</v>
      </c>
      <c r="HA62" t="e">
        <f>AND(Birds!FM33,"AAAAAHfb19A=")</f>
        <v>#VALUE!</v>
      </c>
      <c r="HB62" t="e">
        <f>AND(Birds!FN33,"AAAAAHfb19E=")</f>
        <v>#VALUE!</v>
      </c>
      <c r="HC62" t="e">
        <f>AND(Birds!FO33,"AAAAAHfb19I=")</f>
        <v>#VALUE!</v>
      </c>
      <c r="HD62" t="e">
        <f>AND(Birds!FP33,"AAAAAHfb19M=")</f>
        <v>#VALUE!</v>
      </c>
      <c r="HE62" t="e">
        <f>AND(Birds!FQ33,"AAAAAHfb19Q=")</f>
        <v>#VALUE!</v>
      </c>
      <c r="HF62" t="e">
        <f>AND(Birds!FR33,"AAAAAHfb19U=")</f>
        <v>#VALUE!</v>
      </c>
      <c r="HG62" t="e">
        <f>AND(Birds!FS33,"AAAAAHfb19Y=")</f>
        <v>#VALUE!</v>
      </c>
      <c r="HH62" t="e">
        <f>AND(Birds!FT33,"AAAAAHfb19c=")</f>
        <v>#VALUE!</v>
      </c>
      <c r="HI62" t="e">
        <f>AND(Birds!FU33,"AAAAAHfb19g=")</f>
        <v>#VALUE!</v>
      </c>
      <c r="HJ62" t="e">
        <f>AND(Birds!FV33,"AAAAAHfb19k=")</f>
        <v>#VALUE!</v>
      </c>
      <c r="HK62" t="e">
        <f>AND(Birds!FW33,"AAAAAHfb19o=")</f>
        <v>#VALUE!</v>
      </c>
      <c r="HL62" t="e">
        <f>AND(Birds!FX33,"AAAAAHfb19s=")</f>
        <v>#VALUE!</v>
      </c>
      <c r="HM62" t="e">
        <f>AND(Birds!FY33,"AAAAAHfb19w=")</f>
        <v>#VALUE!</v>
      </c>
      <c r="HN62" t="e">
        <f>AND(Birds!FZ33,"AAAAAHfb190=")</f>
        <v>#VALUE!</v>
      </c>
      <c r="HO62" t="e">
        <f>AND(Birds!GA33,"AAAAAHfb194=")</f>
        <v>#VALUE!</v>
      </c>
      <c r="HP62" t="e">
        <f>AND(Birds!GB33,"AAAAAHfb198=")</f>
        <v>#VALUE!</v>
      </c>
      <c r="HQ62" t="e">
        <f>AND(Birds!GC33,"AAAAAHfb1+A=")</f>
        <v>#VALUE!</v>
      </c>
      <c r="HR62" t="e">
        <f>AND(Birds!GD33,"AAAAAHfb1+E=")</f>
        <v>#VALUE!</v>
      </c>
      <c r="HS62" t="e">
        <f>AND(Birds!GE33,"AAAAAHfb1+I=")</f>
        <v>#VALUE!</v>
      </c>
      <c r="HT62" t="e">
        <f>AND(Birds!GF33,"AAAAAHfb1+M=")</f>
        <v>#VALUE!</v>
      </c>
      <c r="HU62" t="e">
        <f>AND(Birds!GG33,"AAAAAHfb1+Q=")</f>
        <v>#VALUE!</v>
      </c>
      <c r="HV62" t="e">
        <f>AND(Birds!GH33,"AAAAAHfb1+U=")</f>
        <v>#VALUE!</v>
      </c>
      <c r="HW62" t="e">
        <f>AND(Birds!GI33,"AAAAAHfb1+Y=")</f>
        <v>#VALUE!</v>
      </c>
      <c r="HX62" t="e">
        <f>AND(Birds!GJ33,"AAAAAHfb1+c=")</f>
        <v>#VALUE!</v>
      </c>
      <c r="HY62" t="e">
        <f>AND(Birds!GK33,"AAAAAHfb1+g=")</f>
        <v>#VALUE!</v>
      </c>
      <c r="HZ62" t="e">
        <f>AND(Birds!GL33,"AAAAAHfb1+k=")</f>
        <v>#VALUE!</v>
      </c>
      <c r="IA62" t="e">
        <f>AND(Birds!GM33,"AAAAAHfb1+o=")</f>
        <v>#VALUE!</v>
      </c>
      <c r="IB62">
        <f>IF(Birds!34:34,"AAAAAHfb1+s=",0)</f>
        <v>0</v>
      </c>
      <c r="IC62" t="e">
        <f>AND(Birds!A34,"AAAAAHfb1+w=")</f>
        <v>#VALUE!</v>
      </c>
      <c r="ID62" t="e">
        <f>AND(Birds!B34,"AAAAAHfb1+0=")</f>
        <v>#VALUE!</v>
      </c>
      <c r="IE62" t="e">
        <f>AND(Birds!C34,"AAAAAHfb1+4=")</f>
        <v>#VALUE!</v>
      </c>
      <c r="IF62" t="e">
        <f>AND(Birds!D34,"AAAAAHfb1+8=")</f>
        <v>#VALUE!</v>
      </c>
      <c r="IG62" t="e">
        <f>AND(Birds!E34,"AAAAAHfb1/A=")</f>
        <v>#VALUE!</v>
      </c>
      <c r="IH62" t="e">
        <f>AND(Birds!F34,"AAAAAHfb1/E=")</f>
        <v>#VALUE!</v>
      </c>
      <c r="II62" t="e">
        <f>AND(Birds!G34,"AAAAAHfb1/I=")</f>
        <v>#VALUE!</v>
      </c>
      <c r="IJ62" t="e">
        <f>AND(Birds!H34,"AAAAAHfb1/M=")</f>
        <v>#VALUE!</v>
      </c>
      <c r="IK62" t="e">
        <f>AND(Birds!I34,"AAAAAHfb1/Q=")</f>
        <v>#VALUE!</v>
      </c>
      <c r="IL62" t="e">
        <f>AND(Birds!J34,"AAAAAHfb1/U=")</f>
        <v>#VALUE!</v>
      </c>
      <c r="IM62" t="e">
        <f>AND(Birds!K34,"AAAAAHfb1/Y=")</f>
        <v>#VALUE!</v>
      </c>
      <c r="IN62" t="e">
        <f>AND(Birds!L34,"AAAAAHfb1/c=")</f>
        <v>#VALUE!</v>
      </c>
      <c r="IO62" t="e">
        <f>AND(Birds!M34,"AAAAAHfb1/g=")</f>
        <v>#VALUE!</v>
      </c>
      <c r="IP62" t="e">
        <f>AND(Birds!N34,"AAAAAHfb1/k=")</f>
        <v>#VALUE!</v>
      </c>
      <c r="IQ62" t="e">
        <f>AND(Birds!O34,"AAAAAHfb1/o=")</f>
        <v>#VALUE!</v>
      </c>
      <c r="IR62" t="e">
        <f>AND(Birds!P34,"AAAAAHfb1/s=")</f>
        <v>#VALUE!</v>
      </c>
      <c r="IS62" t="e">
        <f>AND(Birds!Q34,"AAAAAHfb1/w=")</f>
        <v>#VALUE!</v>
      </c>
      <c r="IT62" t="e">
        <f>AND(Birds!R34,"AAAAAHfb1/0=")</f>
        <v>#VALUE!</v>
      </c>
      <c r="IU62" t="e">
        <f>AND(Birds!S34,"AAAAAHfb1/4=")</f>
        <v>#VALUE!</v>
      </c>
      <c r="IV62" t="e">
        <f>AND(Birds!T34,"AAAAAHfb1/8=")</f>
        <v>#VALUE!</v>
      </c>
    </row>
    <row r="63" spans="1:256">
      <c r="A63" t="e">
        <f>AND(Birds!U34,"AAAAAF/nLgA=")</f>
        <v>#VALUE!</v>
      </c>
      <c r="B63" t="e">
        <f>AND(Birds!V34,"AAAAAF/nLgE=")</f>
        <v>#VALUE!</v>
      </c>
      <c r="C63" t="e">
        <f>AND(Birds!W34,"AAAAAF/nLgI=")</f>
        <v>#VALUE!</v>
      </c>
      <c r="D63" t="e">
        <f>AND(Birds!X34,"AAAAAF/nLgM=")</f>
        <v>#VALUE!</v>
      </c>
      <c r="E63" t="e">
        <f>AND(Birds!Y34,"AAAAAF/nLgQ=")</f>
        <v>#VALUE!</v>
      </c>
      <c r="F63" t="e">
        <f>AND(Birds!Z34,"AAAAAF/nLgU=")</f>
        <v>#VALUE!</v>
      </c>
      <c r="G63" t="e">
        <f>AND(Birds!AA34,"AAAAAF/nLgY=")</f>
        <v>#VALUE!</v>
      </c>
      <c r="H63" t="e">
        <f>AND(Birds!AB34,"AAAAAF/nLgc=")</f>
        <v>#VALUE!</v>
      </c>
      <c r="I63" t="e">
        <f>AND(Birds!AC34,"AAAAAF/nLgg=")</f>
        <v>#VALUE!</v>
      </c>
      <c r="J63" t="e">
        <f>AND(Birds!AD34,"AAAAAF/nLgk=")</f>
        <v>#VALUE!</v>
      </c>
      <c r="K63" t="e">
        <f>AND(Birds!AE34,"AAAAAF/nLgo=")</f>
        <v>#VALUE!</v>
      </c>
      <c r="L63" t="e">
        <f>AND(Birds!AF34,"AAAAAF/nLgs=")</f>
        <v>#VALUE!</v>
      </c>
      <c r="M63" t="e">
        <f>AND(Birds!AG34,"AAAAAF/nLgw=")</f>
        <v>#VALUE!</v>
      </c>
      <c r="N63" t="e">
        <f>AND(Birds!AH34,"AAAAAF/nLg0=")</f>
        <v>#VALUE!</v>
      </c>
      <c r="O63" t="e">
        <f>AND(Birds!AI34,"AAAAAF/nLg4=")</f>
        <v>#VALUE!</v>
      </c>
      <c r="P63" t="e">
        <f>AND(Birds!AJ34,"AAAAAF/nLg8=")</f>
        <v>#VALUE!</v>
      </c>
      <c r="Q63" t="e">
        <f>AND(Birds!AK34,"AAAAAF/nLhA=")</f>
        <v>#VALUE!</v>
      </c>
      <c r="R63" t="e">
        <f>AND(Birds!AL34,"AAAAAF/nLhE=")</f>
        <v>#VALUE!</v>
      </c>
      <c r="S63" t="e">
        <f>AND(Birds!AM34,"AAAAAF/nLhI=")</f>
        <v>#VALUE!</v>
      </c>
      <c r="T63" t="e">
        <f>AND(Birds!AN34,"AAAAAF/nLhM=")</f>
        <v>#VALUE!</v>
      </c>
      <c r="U63" t="e">
        <f>AND(Birds!AO34,"AAAAAF/nLhQ=")</f>
        <v>#VALUE!</v>
      </c>
      <c r="V63" t="e">
        <f>AND(Birds!AP34,"AAAAAF/nLhU=")</f>
        <v>#VALUE!</v>
      </c>
      <c r="W63" t="e">
        <f>AND(Birds!AQ34,"AAAAAF/nLhY=")</f>
        <v>#VALUE!</v>
      </c>
      <c r="X63" t="e">
        <f>AND(Birds!AR34,"AAAAAF/nLhc=")</f>
        <v>#VALUE!</v>
      </c>
      <c r="Y63" t="e">
        <f>AND(Birds!AS34,"AAAAAF/nLhg=")</f>
        <v>#VALUE!</v>
      </c>
      <c r="Z63" t="e">
        <f>AND(Birds!AT34,"AAAAAF/nLhk=")</f>
        <v>#VALUE!</v>
      </c>
      <c r="AA63" t="e">
        <f>AND(Birds!AU34,"AAAAAF/nLho=")</f>
        <v>#VALUE!</v>
      </c>
      <c r="AB63" t="e">
        <f>AND(Birds!AV34,"AAAAAF/nLhs=")</f>
        <v>#VALUE!</v>
      </c>
      <c r="AC63" t="e">
        <f>AND(Birds!AW34,"AAAAAF/nLhw=")</f>
        <v>#VALUE!</v>
      </c>
      <c r="AD63" t="e">
        <f>AND(Birds!AX34,"AAAAAF/nLh0=")</f>
        <v>#VALUE!</v>
      </c>
      <c r="AE63" t="e">
        <f>AND(Birds!AY34,"AAAAAF/nLh4=")</f>
        <v>#VALUE!</v>
      </c>
      <c r="AF63" t="e">
        <f>AND(Birds!AZ34,"AAAAAF/nLh8=")</f>
        <v>#VALUE!</v>
      </c>
      <c r="AG63" t="e">
        <f>AND(Birds!BA34,"AAAAAF/nLiA=")</f>
        <v>#VALUE!</v>
      </c>
      <c r="AH63" t="e">
        <f>AND(Birds!BB34,"AAAAAF/nLiE=")</f>
        <v>#VALUE!</v>
      </c>
      <c r="AI63" t="e">
        <f>AND(Birds!BC34,"AAAAAF/nLiI=")</f>
        <v>#VALUE!</v>
      </c>
      <c r="AJ63" t="e">
        <f>AND(Birds!BD34,"AAAAAF/nLiM=")</f>
        <v>#VALUE!</v>
      </c>
      <c r="AK63" t="e">
        <f>AND(Birds!BE34,"AAAAAF/nLiQ=")</f>
        <v>#VALUE!</v>
      </c>
      <c r="AL63" t="e">
        <f>AND(Birds!BF34,"AAAAAF/nLiU=")</f>
        <v>#VALUE!</v>
      </c>
      <c r="AM63" t="e">
        <f>AND(Birds!BG34,"AAAAAF/nLiY=")</f>
        <v>#VALUE!</v>
      </c>
      <c r="AN63" t="e">
        <f>AND(Birds!BH34,"AAAAAF/nLic=")</f>
        <v>#VALUE!</v>
      </c>
      <c r="AO63" t="e">
        <f>AND(Birds!BI34,"AAAAAF/nLig=")</f>
        <v>#VALUE!</v>
      </c>
      <c r="AP63" t="e">
        <f>AND(Birds!BJ34,"AAAAAF/nLik=")</f>
        <v>#VALUE!</v>
      </c>
      <c r="AQ63" t="e">
        <f>AND(Birds!BK34,"AAAAAF/nLio=")</f>
        <v>#VALUE!</v>
      </c>
      <c r="AR63" t="e">
        <f>AND(Birds!BL34,"AAAAAF/nLis=")</f>
        <v>#VALUE!</v>
      </c>
      <c r="AS63" t="e">
        <f>AND(Birds!BM34,"AAAAAF/nLiw=")</f>
        <v>#VALUE!</v>
      </c>
      <c r="AT63" t="e">
        <f>AND(Birds!BN34,"AAAAAF/nLi0=")</f>
        <v>#VALUE!</v>
      </c>
      <c r="AU63" t="e">
        <f>AND(Birds!BO34,"AAAAAF/nLi4=")</f>
        <v>#VALUE!</v>
      </c>
      <c r="AV63" t="e">
        <f>AND(Birds!BP34,"AAAAAF/nLi8=")</f>
        <v>#VALUE!</v>
      </c>
      <c r="AW63" t="e">
        <f>AND(Birds!BQ34,"AAAAAF/nLjA=")</f>
        <v>#VALUE!</v>
      </c>
      <c r="AX63" t="e">
        <f>AND(Birds!BR34,"AAAAAF/nLjE=")</f>
        <v>#VALUE!</v>
      </c>
      <c r="AY63" t="e">
        <f>AND(Birds!BS34,"AAAAAF/nLjI=")</f>
        <v>#VALUE!</v>
      </c>
      <c r="AZ63" t="e">
        <f>AND(Birds!BT34,"AAAAAF/nLjM=")</f>
        <v>#VALUE!</v>
      </c>
      <c r="BA63" t="e">
        <f>AND(Birds!BU34,"AAAAAF/nLjQ=")</f>
        <v>#VALUE!</v>
      </c>
      <c r="BB63" t="e">
        <f>AND(Birds!BV34,"AAAAAF/nLjU=")</f>
        <v>#VALUE!</v>
      </c>
      <c r="BC63" t="e">
        <f>AND(Birds!BW34,"AAAAAF/nLjY=")</f>
        <v>#VALUE!</v>
      </c>
      <c r="BD63" t="e">
        <f>AND(Birds!BX34,"AAAAAF/nLjc=")</f>
        <v>#VALUE!</v>
      </c>
      <c r="BE63" t="e">
        <f>AND(Birds!BY34,"AAAAAF/nLjg=")</f>
        <v>#VALUE!</v>
      </c>
      <c r="BF63" t="e">
        <f>AND(Birds!BZ34,"AAAAAF/nLjk=")</f>
        <v>#VALUE!</v>
      </c>
      <c r="BG63" t="e">
        <f>AND(Birds!CA34,"AAAAAF/nLjo=")</f>
        <v>#VALUE!</v>
      </c>
      <c r="BH63" t="e">
        <f>AND(Birds!CB34,"AAAAAF/nLjs=")</f>
        <v>#VALUE!</v>
      </c>
      <c r="BI63" t="e">
        <f>AND(Birds!CC34,"AAAAAF/nLjw=")</f>
        <v>#VALUE!</v>
      </c>
      <c r="BJ63" t="e">
        <f>AND(Birds!CD34,"AAAAAF/nLj0=")</f>
        <v>#VALUE!</v>
      </c>
      <c r="BK63" t="e">
        <f>AND(Birds!CE34,"AAAAAF/nLj4=")</f>
        <v>#VALUE!</v>
      </c>
      <c r="BL63" t="e">
        <f>AND(Birds!CF34,"AAAAAF/nLj8=")</f>
        <v>#VALUE!</v>
      </c>
      <c r="BM63" t="e">
        <f>AND(Birds!CG34,"AAAAAF/nLkA=")</f>
        <v>#VALUE!</v>
      </c>
      <c r="BN63" t="e">
        <f>AND(Birds!CH34,"AAAAAF/nLkE=")</f>
        <v>#VALUE!</v>
      </c>
      <c r="BO63" t="e">
        <f>AND(Birds!CI34,"AAAAAF/nLkI=")</f>
        <v>#VALUE!</v>
      </c>
      <c r="BP63" t="e">
        <f>AND(Birds!CJ34,"AAAAAF/nLkM=")</f>
        <v>#VALUE!</v>
      </c>
      <c r="BQ63" t="e">
        <f>AND(Birds!CK34,"AAAAAF/nLkQ=")</f>
        <v>#VALUE!</v>
      </c>
      <c r="BR63" t="e">
        <f>AND(Birds!CL34,"AAAAAF/nLkU=")</f>
        <v>#VALUE!</v>
      </c>
      <c r="BS63" t="e">
        <f>AND(Birds!CM34,"AAAAAF/nLkY=")</f>
        <v>#VALUE!</v>
      </c>
      <c r="BT63" t="e">
        <f>AND(Birds!CN34,"AAAAAF/nLkc=")</f>
        <v>#VALUE!</v>
      </c>
      <c r="BU63" t="e">
        <f>AND(Birds!CO34,"AAAAAF/nLkg=")</f>
        <v>#VALUE!</v>
      </c>
      <c r="BV63" t="e">
        <f>AND(Birds!CP34,"AAAAAF/nLkk=")</f>
        <v>#VALUE!</v>
      </c>
      <c r="BW63" t="e">
        <f>AND(Birds!CQ34,"AAAAAF/nLko=")</f>
        <v>#VALUE!</v>
      </c>
      <c r="BX63" t="e">
        <f>AND(Birds!CR34,"AAAAAF/nLks=")</f>
        <v>#VALUE!</v>
      </c>
      <c r="BY63" t="e">
        <f>AND(Birds!CS34,"AAAAAF/nLkw=")</f>
        <v>#VALUE!</v>
      </c>
      <c r="BZ63" t="e">
        <f>AND(Birds!CT34,"AAAAAF/nLk0=")</f>
        <v>#VALUE!</v>
      </c>
      <c r="CA63" t="e">
        <f>AND(Birds!CU34,"AAAAAF/nLk4=")</f>
        <v>#VALUE!</v>
      </c>
      <c r="CB63" t="e">
        <f>AND(Birds!CV34,"AAAAAF/nLk8=")</f>
        <v>#VALUE!</v>
      </c>
      <c r="CC63" t="e">
        <f>AND(Birds!CW34,"AAAAAF/nLlA=")</f>
        <v>#VALUE!</v>
      </c>
      <c r="CD63" t="e">
        <f>AND(Birds!CX34,"AAAAAF/nLlE=")</f>
        <v>#VALUE!</v>
      </c>
      <c r="CE63" t="e">
        <f>AND(Birds!CY34,"AAAAAF/nLlI=")</f>
        <v>#VALUE!</v>
      </c>
      <c r="CF63" t="e">
        <f>AND(Birds!CZ34,"AAAAAF/nLlM=")</f>
        <v>#VALUE!</v>
      </c>
      <c r="CG63" t="e">
        <f>AND(Birds!DA34,"AAAAAF/nLlQ=")</f>
        <v>#VALUE!</v>
      </c>
      <c r="CH63" t="e">
        <f>AND(Birds!DB34,"AAAAAF/nLlU=")</f>
        <v>#VALUE!</v>
      </c>
      <c r="CI63" t="e">
        <f>AND(Birds!DC34,"AAAAAF/nLlY=")</f>
        <v>#VALUE!</v>
      </c>
      <c r="CJ63" t="e">
        <f>AND(Birds!DD34,"AAAAAF/nLlc=")</f>
        <v>#VALUE!</v>
      </c>
      <c r="CK63" t="e">
        <f>AND(Birds!DE34,"AAAAAF/nLlg=")</f>
        <v>#VALUE!</v>
      </c>
      <c r="CL63" t="e">
        <f>AND(Birds!DF34,"AAAAAF/nLlk=")</f>
        <v>#VALUE!</v>
      </c>
      <c r="CM63" t="e">
        <f>AND(Birds!DG34,"AAAAAF/nLlo=")</f>
        <v>#VALUE!</v>
      </c>
      <c r="CN63" t="e">
        <f>AND(Birds!DH34,"AAAAAF/nLls=")</f>
        <v>#VALUE!</v>
      </c>
      <c r="CO63" t="e">
        <f>AND(Birds!DI34,"AAAAAF/nLlw=")</f>
        <v>#VALUE!</v>
      </c>
      <c r="CP63" t="e">
        <f>AND(Birds!DJ34,"AAAAAF/nLl0=")</f>
        <v>#VALUE!</v>
      </c>
      <c r="CQ63" t="e">
        <f>AND(Birds!DK34,"AAAAAF/nLl4=")</f>
        <v>#VALUE!</v>
      </c>
      <c r="CR63" t="e">
        <f>AND(Birds!DL34,"AAAAAF/nLl8=")</f>
        <v>#VALUE!</v>
      </c>
      <c r="CS63" t="e">
        <f>AND(Birds!DM34,"AAAAAF/nLmA=")</f>
        <v>#VALUE!</v>
      </c>
      <c r="CT63" t="e">
        <f>AND(Birds!DN34,"AAAAAF/nLmE=")</f>
        <v>#VALUE!</v>
      </c>
      <c r="CU63" t="e">
        <f>AND(Birds!DO34,"AAAAAF/nLmI=")</f>
        <v>#VALUE!</v>
      </c>
      <c r="CV63" t="e">
        <f>AND(Birds!DP34,"AAAAAF/nLmM=")</f>
        <v>#VALUE!</v>
      </c>
      <c r="CW63" t="e">
        <f>AND(Birds!DQ34,"AAAAAF/nLmQ=")</f>
        <v>#VALUE!</v>
      </c>
      <c r="CX63" t="e">
        <f>AND(Birds!DR34,"AAAAAF/nLmU=")</f>
        <v>#VALUE!</v>
      </c>
      <c r="CY63" t="e">
        <f>AND(Birds!DS34,"AAAAAF/nLmY=")</f>
        <v>#VALUE!</v>
      </c>
      <c r="CZ63" t="e">
        <f>AND(Birds!DT34,"AAAAAF/nLmc=")</f>
        <v>#VALUE!</v>
      </c>
      <c r="DA63" t="e">
        <f>AND(Birds!DU34,"AAAAAF/nLmg=")</f>
        <v>#VALUE!</v>
      </c>
      <c r="DB63" t="e">
        <f>AND(Birds!DV34,"AAAAAF/nLmk=")</f>
        <v>#VALUE!</v>
      </c>
      <c r="DC63" t="e">
        <f>AND(Birds!DW34,"AAAAAF/nLmo=")</f>
        <v>#VALUE!</v>
      </c>
      <c r="DD63" t="e">
        <f>AND(Birds!DX34,"AAAAAF/nLms=")</f>
        <v>#VALUE!</v>
      </c>
      <c r="DE63" t="e">
        <f>AND(Birds!DY34,"AAAAAF/nLmw=")</f>
        <v>#VALUE!</v>
      </c>
      <c r="DF63" t="e">
        <f>AND(Birds!DZ34,"AAAAAF/nLm0=")</f>
        <v>#VALUE!</v>
      </c>
      <c r="DG63" t="e">
        <f>AND(Birds!EA34,"AAAAAF/nLm4=")</f>
        <v>#VALUE!</v>
      </c>
      <c r="DH63" t="e">
        <f>AND(Birds!EB34,"AAAAAF/nLm8=")</f>
        <v>#VALUE!</v>
      </c>
      <c r="DI63" t="e">
        <f>AND(Birds!EC34,"AAAAAF/nLnA=")</f>
        <v>#VALUE!</v>
      </c>
      <c r="DJ63" t="e">
        <f>AND(Birds!ED34,"AAAAAF/nLnE=")</f>
        <v>#VALUE!</v>
      </c>
      <c r="DK63" t="e">
        <f>AND(Birds!EE34,"AAAAAF/nLnI=")</f>
        <v>#VALUE!</v>
      </c>
      <c r="DL63" t="e">
        <f>AND(Birds!EF34,"AAAAAF/nLnM=")</f>
        <v>#VALUE!</v>
      </c>
      <c r="DM63" t="e">
        <f>AND(Birds!EG34,"AAAAAF/nLnQ=")</f>
        <v>#VALUE!</v>
      </c>
      <c r="DN63" t="e">
        <f>AND(Birds!EH34,"AAAAAF/nLnU=")</f>
        <v>#VALUE!</v>
      </c>
      <c r="DO63" t="e">
        <f>AND(Birds!EI34,"AAAAAF/nLnY=")</f>
        <v>#VALUE!</v>
      </c>
      <c r="DP63" t="e">
        <f>AND(Birds!EJ34,"AAAAAF/nLnc=")</f>
        <v>#VALUE!</v>
      </c>
      <c r="DQ63" t="e">
        <f>AND(Birds!EK34,"AAAAAF/nLng=")</f>
        <v>#VALUE!</v>
      </c>
      <c r="DR63" t="e">
        <f>AND(Birds!EL34,"AAAAAF/nLnk=")</f>
        <v>#VALUE!</v>
      </c>
      <c r="DS63" t="e">
        <f>AND(Birds!EM34,"AAAAAF/nLno=")</f>
        <v>#VALUE!</v>
      </c>
      <c r="DT63" t="e">
        <f>AND(Birds!EN34,"AAAAAF/nLns=")</f>
        <v>#VALUE!</v>
      </c>
      <c r="DU63" t="e">
        <f>AND(Birds!EO34,"AAAAAF/nLnw=")</f>
        <v>#VALUE!</v>
      </c>
      <c r="DV63" t="e">
        <f>AND(Birds!EP34,"AAAAAF/nLn0=")</f>
        <v>#VALUE!</v>
      </c>
      <c r="DW63" t="e">
        <f>AND(Birds!EQ34,"AAAAAF/nLn4=")</f>
        <v>#VALUE!</v>
      </c>
      <c r="DX63" t="e">
        <f>AND(Birds!ER34,"AAAAAF/nLn8=")</f>
        <v>#VALUE!</v>
      </c>
      <c r="DY63" t="e">
        <f>AND(Birds!ES34,"AAAAAF/nLoA=")</f>
        <v>#VALUE!</v>
      </c>
      <c r="DZ63" t="e">
        <f>AND(Birds!ET34,"AAAAAF/nLoE=")</f>
        <v>#VALUE!</v>
      </c>
      <c r="EA63" t="e">
        <f>AND(Birds!EU34,"AAAAAF/nLoI=")</f>
        <v>#VALUE!</v>
      </c>
      <c r="EB63" t="e">
        <f>AND(Birds!EV34,"AAAAAF/nLoM=")</f>
        <v>#VALUE!</v>
      </c>
      <c r="EC63" t="e">
        <f>AND(Birds!EW34,"AAAAAF/nLoQ=")</f>
        <v>#VALUE!</v>
      </c>
      <c r="ED63" t="e">
        <f>AND(Birds!EX34,"AAAAAF/nLoU=")</f>
        <v>#VALUE!</v>
      </c>
      <c r="EE63" t="e">
        <f>AND(Birds!EY34,"AAAAAF/nLoY=")</f>
        <v>#VALUE!</v>
      </c>
      <c r="EF63" t="e">
        <f>AND(Birds!EZ34,"AAAAAF/nLoc=")</f>
        <v>#VALUE!</v>
      </c>
      <c r="EG63" t="e">
        <f>AND(Birds!FA34,"AAAAAF/nLog=")</f>
        <v>#VALUE!</v>
      </c>
      <c r="EH63" t="e">
        <f>AND(Birds!FB34,"AAAAAF/nLok=")</f>
        <v>#VALUE!</v>
      </c>
      <c r="EI63" t="e">
        <f>AND(Birds!FC34,"AAAAAF/nLoo=")</f>
        <v>#VALUE!</v>
      </c>
      <c r="EJ63" t="e">
        <f>AND(Birds!FD34,"AAAAAF/nLos=")</f>
        <v>#VALUE!</v>
      </c>
      <c r="EK63" t="e">
        <f>AND(Birds!FE34,"AAAAAF/nLow=")</f>
        <v>#VALUE!</v>
      </c>
      <c r="EL63" t="e">
        <f>AND(Birds!FF34,"AAAAAF/nLo0=")</f>
        <v>#VALUE!</v>
      </c>
      <c r="EM63" t="e">
        <f>AND(Birds!FG34,"AAAAAF/nLo4=")</f>
        <v>#VALUE!</v>
      </c>
      <c r="EN63" t="e">
        <f>AND(Birds!FH34,"AAAAAF/nLo8=")</f>
        <v>#VALUE!</v>
      </c>
      <c r="EO63" t="e">
        <f>AND(Birds!FI34,"AAAAAF/nLpA=")</f>
        <v>#VALUE!</v>
      </c>
      <c r="EP63" t="e">
        <f>AND(Birds!FJ34,"AAAAAF/nLpE=")</f>
        <v>#VALUE!</v>
      </c>
      <c r="EQ63" t="e">
        <f>AND(Birds!FK34,"AAAAAF/nLpI=")</f>
        <v>#VALUE!</v>
      </c>
      <c r="ER63" t="e">
        <f>AND(Birds!FL34,"AAAAAF/nLpM=")</f>
        <v>#VALUE!</v>
      </c>
      <c r="ES63" t="e">
        <f>AND(Birds!FM34,"AAAAAF/nLpQ=")</f>
        <v>#VALUE!</v>
      </c>
      <c r="ET63" t="e">
        <f>AND(Birds!FN34,"AAAAAF/nLpU=")</f>
        <v>#VALUE!</v>
      </c>
      <c r="EU63" t="e">
        <f>AND(Birds!FO34,"AAAAAF/nLpY=")</f>
        <v>#VALUE!</v>
      </c>
      <c r="EV63" t="e">
        <f>AND(Birds!FP34,"AAAAAF/nLpc=")</f>
        <v>#VALUE!</v>
      </c>
      <c r="EW63" t="e">
        <f>AND(Birds!FQ34,"AAAAAF/nLpg=")</f>
        <v>#VALUE!</v>
      </c>
      <c r="EX63" t="e">
        <f>AND(Birds!FR34,"AAAAAF/nLpk=")</f>
        <v>#VALUE!</v>
      </c>
      <c r="EY63" t="e">
        <f>AND(Birds!FS34,"AAAAAF/nLpo=")</f>
        <v>#VALUE!</v>
      </c>
      <c r="EZ63" t="e">
        <f>AND(Birds!FT34,"AAAAAF/nLps=")</f>
        <v>#VALUE!</v>
      </c>
      <c r="FA63" t="e">
        <f>AND(Birds!FU34,"AAAAAF/nLpw=")</f>
        <v>#VALUE!</v>
      </c>
      <c r="FB63" t="e">
        <f>AND(Birds!FV34,"AAAAAF/nLp0=")</f>
        <v>#VALUE!</v>
      </c>
      <c r="FC63" t="e">
        <f>AND(Birds!FW34,"AAAAAF/nLp4=")</f>
        <v>#VALUE!</v>
      </c>
      <c r="FD63" t="e">
        <f>AND(Birds!FX34,"AAAAAF/nLp8=")</f>
        <v>#VALUE!</v>
      </c>
      <c r="FE63" t="e">
        <f>AND(Birds!FY34,"AAAAAF/nLqA=")</f>
        <v>#VALUE!</v>
      </c>
      <c r="FF63" t="e">
        <f>AND(Birds!FZ34,"AAAAAF/nLqE=")</f>
        <v>#VALUE!</v>
      </c>
      <c r="FG63" t="e">
        <f>AND(Birds!GA34,"AAAAAF/nLqI=")</f>
        <v>#VALUE!</v>
      </c>
      <c r="FH63" t="e">
        <f>AND(Birds!GB34,"AAAAAF/nLqM=")</f>
        <v>#VALUE!</v>
      </c>
      <c r="FI63" t="e">
        <f>AND(Birds!GC34,"AAAAAF/nLqQ=")</f>
        <v>#VALUE!</v>
      </c>
      <c r="FJ63" t="e">
        <f>AND(Birds!GD34,"AAAAAF/nLqU=")</f>
        <v>#VALUE!</v>
      </c>
      <c r="FK63" t="e">
        <f>AND(Birds!GE34,"AAAAAF/nLqY=")</f>
        <v>#VALUE!</v>
      </c>
      <c r="FL63" t="e">
        <f>AND(Birds!GF34,"AAAAAF/nLqc=")</f>
        <v>#VALUE!</v>
      </c>
      <c r="FM63" t="e">
        <f>AND(Birds!GG34,"AAAAAF/nLqg=")</f>
        <v>#VALUE!</v>
      </c>
      <c r="FN63" t="e">
        <f>AND(Birds!GH34,"AAAAAF/nLqk=")</f>
        <v>#VALUE!</v>
      </c>
      <c r="FO63" t="e">
        <f>AND(Birds!GI34,"AAAAAF/nLqo=")</f>
        <v>#VALUE!</v>
      </c>
      <c r="FP63" t="e">
        <f>AND(Birds!GJ34,"AAAAAF/nLqs=")</f>
        <v>#VALUE!</v>
      </c>
      <c r="FQ63" t="e">
        <f>AND(Birds!GK34,"AAAAAF/nLqw=")</f>
        <v>#VALUE!</v>
      </c>
      <c r="FR63" t="e">
        <f>AND(Birds!GL34,"AAAAAF/nLq0=")</f>
        <v>#VALUE!</v>
      </c>
      <c r="FS63" t="e">
        <f>AND(Birds!GM34,"AAAAAF/nLq4=")</f>
        <v>#VALUE!</v>
      </c>
      <c r="FT63">
        <f>IF(Birds!35:35,"AAAAAF/nLq8=",0)</f>
        <v>0</v>
      </c>
      <c r="FU63" t="e">
        <f>AND(Birds!A35,"AAAAAF/nLrA=")</f>
        <v>#VALUE!</v>
      </c>
      <c r="FV63" t="e">
        <f>AND(Birds!B35,"AAAAAF/nLrE=")</f>
        <v>#VALUE!</v>
      </c>
      <c r="FW63" t="e">
        <f>AND(Birds!C35,"AAAAAF/nLrI=")</f>
        <v>#VALUE!</v>
      </c>
      <c r="FX63" t="e">
        <f>AND(Birds!D35,"AAAAAF/nLrM=")</f>
        <v>#VALUE!</v>
      </c>
      <c r="FY63" t="e">
        <f>AND(Birds!E35,"AAAAAF/nLrQ=")</f>
        <v>#VALUE!</v>
      </c>
      <c r="FZ63" t="e">
        <f>AND(Birds!F35,"AAAAAF/nLrU=")</f>
        <v>#VALUE!</v>
      </c>
      <c r="GA63" t="e">
        <f>AND(Birds!G35,"AAAAAF/nLrY=")</f>
        <v>#VALUE!</v>
      </c>
      <c r="GB63" t="e">
        <f>AND(Birds!H35,"AAAAAF/nLrc=")</f>
        <v>#VALUE!</v>
      </c>
      <c r="GC63" t="e">
        <f>AND(Birds!I35,"AAAAAF/nLrg=")</f>
        <v>#VALUE!</v>
      </c>
      <c r="GD63" t="e">
        <f>AND(Birds!J35,"AAAAAF/nLrk=")</f>
        <v>#VALUE!</v>
      </c>
      <c r="GE63" t="e">
        <f>AND(Birds!K35,"AAAAAF/nLro=")</f>
        <v>#VALUE!</v>
      </c>
      <c r="GF63" t="e">
        <f>AND(Birds!L35,"AAAAAF/nLrs=")</f>
        <v>#VALUE!</v>
      </c>
      <c r="GG63" t="e">
        <f>AND(Birds!M35,"AAAAAF/nLrw=")</f>
        <v>#VALUE!</v>
      </c>
      <c r="GH63" t="e">
        <f>AND(Birds!N35,"AAAAAF/nLr0=")</f>
        <v>#VALUE!</v>
      </c>
      <c r="GI63" t="e">
        <f>AND(Birds!O35,"AAAAAF/nLr4=")</f>
        <v>#VALUE!</v>
      </c>
      <c r="GJ63" t="e">
        <f>AND(Birds!P35,"AAAAAF/nLr8=")</f>
        <v>#VALUE!</v>
      </c>
      <c r="GK63" t="e">
        <f>AND(Birds!Q35,"AAAAAF/nLsA=")</f>
        <v>#VALUE!</v>
      </c>
      <c r="GL63" t="e">
        <f>AND(Birds!R35,"AAAAAF/nLsE=")</f>
        <v>#VALUE!</v>
      </c>
      <c r="GM63" t="e">
        <f>AND(Birds!S35,"AAAAAF/nLsI=")</f>
        <v>#VALUE!</v>
      </c>
      <c r="GN63" t="e">
        <f>AND(Birds!T35,"AAAAAF/nLsM=")</f>
        <v>#VALUE!</v>
      </c>
      <c r="GO63" t="e">
        <f>AND(Birds!U35,"AAAAAF/nLsQ=")</f>
        <v>#VALUE!</v>
      </c>
      <c r="GP63" t="e">
        <f>AND(Birds!V35,"AAAAAF/nLsU=")</f>
        <v>#VALUE!</v>
      </c>
      <c r="GQ63" t="e">
        <f>AND(Birds!W35,"AAAAAF/nLsY=")</f>
        <v>#VALUE!</v>
      </c>
      <c r="GR63" t="e">
        <f>AND(Birds!X35,"AAAAAF/nLsc=")</f>
        <v>#VALUE!</v>
      </c>
      <c r="GS63" t="e">
        <f>AND(Birds!Y35,"AAAAAF/nLsg=")</f>
        <v>#VALUE!</v>
      </c>
      <c r="GT63" t="e">
        <f>AND(Birds!Z35,"AAAAAF/nLsk=")</f>
        <v>#VALUE!</v>
      </c>
      <c r="GU63" t="e">
        <f>AND(Birds!AA35,"AAAAAF/nLso=")</f>
        <v>#VALUE!</v>
      </c>
      <c r="GV63" t="e">
        <f>AND(Birds!AB35,"AAAAAF/nLss=")</f>
        <v>#VALUE!</v>
      </c>
      <c r="GW63" t="e">
        <f>AND(Birds!AC35,"AAAAAF/nLsw=")</f>
        <v>#VALUE!</v>
      </c>
      <c r="GX63" t="e">
        <f>AND(Birds!AD35,"AAAAAF/nLs0=")</f>
        <v>#VALUE!</v>
      </c>
      <c r="GY63" t="e">
        <f>AND(Birds!AE35,"AAAAAF/nLs4=")</f>
        <v>#VALUE!</v>
      </c>
      <c r="GZ63" t="e">
        <f>AND(Birds!AF35,"AAAAAF/nLs8=")</f>
        <v>#VALUE!</v>
      </c>
      <c r="HA63" t="e">
        <f>AND(Birds!AG35,"AAAAAF/nLtA=")</f>
        <v>#VALUE!</v>
      </c>
      <c r="HB63" t="e">
        <f>AND(Birds!AH35,"AAAAAF/nLtE=")</f>
        <v>#VALUE!</v>
      </c>
      <c r="HC63" t="e">
        <f>AND(Birds!AI35,"AAAAAF/nLtI=")</f>
        <v>#VALUE!</v>
      </c>
      <c r="HD63" t="e">
        <f>AND(Birds!AJ35,"AAAAAF/nLtM=")</f>
        <v>#VALUE!</v>
      </c>
      <c r="HE63" t="e">
        <f>AND(Birds!AK35,"AAAAAF/nLtQ=")</f>
        <v>#VALUE!</v>
      </c>
      <c r="HF63" t="e">
        <f>AND(Birds!AL35,"AAAAAF/nLtU=")</f>
        <v>#VALUE!</v>
      </c>
      <c r="HG63" t="e">
        <f>AND(Birds!AM35,"AAAAAF/nLtY=")</f>
        <v>#VALUE!</v>
      </c>
      <c r="HH63" t="e">
        <f>AND(Birds!AN35,"AAAAAF/nLtc=")</f>
        <v>#VALUE!</v>
      </c>
      <c r="HI63" t="e">
        <f>AND(Birds!AO35,"AAAAAF/nLtg=")</f>
        <v>#VALUE!</v>
      </c>
      <c r="HJ63" t="e">
        <f>AND(Birds!AP35,"AAAAAF/nLtk=")</f>
        <v>#VALUE!</v>
      </c>
      <c r="HK63" t="e">
        <f>AND(Birds!AQ35,"AAAAAF/nLto=")</f>
        <v>#VALUE!</v>
      </c>
      <c r="HL63" t="e">
        <f>AND(Birds!AR35,"AAAAAF/nLts=")</f>
        <v>#VALUE!</v>
      </c>
      <c r="HM63" t="e">
        <f>AND(Birds!AS35,"AAAAAF/nLtw=")</f>
        <v>#VALUE!</v>
      </c>
      <c r="HN63" t="e">
        <f>AND(Birds!AT35,"AAAAAF/nLt0=")</f>
        <v>#VALUE!</v>
      </c>
      <c r="HO63" t="e">
        <f>AND(Birds!AU35,"AAAAAF/nLt4=")</f>
        <v>#VALUE!</v>
      </c>
      <c r="HP63" t="e">
        <f>AND(Birds!AV35,"AAAAAF/nLt8=")</f>
        <v>#VALUE!</v>
      </c>
      <c r="HQ63" t="e">
        <f>AND(Birds!AW35,"AAAAAF/nLuA=")</f>
        <v>#VALUE!</v>
      </c>
      <c r="HR63" t="e">
        <f>AND(Birds!AX35,"AAAAAF/nLuE=")</f>
        <v>#VALUE!</v>
      </c>
      <c r="HS63" t="e">
        <f>AND(Birds!AY35,"AAAAAF/nLuI=")</f>
        <v>#VALUE!</v>
      </c>
      <c r="HT63" t="e">
        <f>AND(Birds!AZ35,"AAAAAF/nLuM=")</f>
        <v>#VALUE!</v>
      </c>
      <c r="HU63" t="e">
        <f>AND(Birds!BA35,"AAAAAF/nLuQ=")</f>
        <v>#VALUE!</v>
      </c>
      <c r="HV63" t="e">
        <f>AND(Birds!BB35,"AAAAAF/nLuU=")</f>
        <v>#VALUE!</v>
      </c>
      <c r="HW63" t="e">
        <f>AND(Birds!BC35,"AAAAAF/nLuY=")</f>
        <v>#VALUE!</v>
      </c>
      <c r="HX63" t="e">
        <f>AND(Birds!BD35,"AAAAAF/nLuc=")</f>
        <v>#VALUE!</v>
      </c>
      <c r="HY63" t="e">
        <f>AND(Birds!BE35,"AAAAAF/nLug=")</f>
        <v>#VALUE!</v>
      </c>
      <c r="HZ63" t="e">
        <f>AND(Birds!BF35,"AAAAAF/nLuk=")</f>
        <v>#VALUE!</v>
      </c>
      <c r="IA63" t="e">
        <f>AND(Birds!BG35,"AAAAAF/nLuo=")</f>
        <v>#VALUE!</v>
      </c>
      <c r="IB63" t="e">
        <f>AND(Birds!BH35,"AAAAAF/nLus=")</f>
        <v>#VALUE!</v>
      </c>
      <c r="IC63" t="e">
        <f>AND(Birds!BI35,"AAAAAF/nLuw=")</f>
        <v>#VALUE!</v>
      </c>
      <c r="ID63" t="e">
        <f>AND(Birds!BJ35,"AAAAAF/nLu0=")</f>
        <v>#VALUE!</v>
      </c>
      <c r="IE63" t="e">
        <f>AND(Birds!BK35,"AAAAAF/nLu4=")</f>
        <v>#VALUE!</v>
      </c>
      <c r="IF63" t="e">
        <f>AND(Birds!BL35,"AAAAAF/nLu8=")</f>
        <v>#VALUE!</v>
      </c>
      <c r="IG63" t="e">
        <f>AND(Birds!BM35,"AAAAAF/nLvA=")</f>
        <v>#VALUE!</v>
      </c>
      <c r="IH63" t="e">
        <f>AND(Birds!BN35,"AAAAAF/nLvE=")</f>
        <v>#VALUE!</v>
      </c>
      <c r="II63" t="e">
        <f>AND(Birds!BO35,"AAAAAF/nLvI=")</f>
        <v>#VALUE!</v>
      </c>
      <c r="IJ63" t="e">
        <f>AND(Birds!BP35,"AAAAAF/nLvM=")</f>
        <v>#VALUE!</v>
      </c>
      <c r="IK63" t="e">
        <f>AND(Birds!BQ35,"AAAAAF/nLvQ=")</f>
        <v>#VALUE!</v>
      </c>
      <c r="IL63" t="e">
        <f>AND(Birds!BR35,"AAAAAF/nLvU=")</f>
        <v>#VALUE!</v>
      </c>
      <c r="IM63" t="e">
        <f>AND(Birds!BS35,"AAAAAF/nLvY=")</f>
        <v>#VALUE!</v>
      </c>
      <c r="IN63" t="e">
        <f>AND(Birds!BT35,"AAAAAF/nLvc=")</f>
        <v>#VALUE!</v>
      </c>
      <c r="IO63" t="e">
        <f>AND(Birds!BU35,"AAAAAF/nLvg=")</f>
        <v>#VALUE!</v>
      </c>
      <c r="IP63" t="e">
        <f>AND(Birds!BV35,"AAAAAF/nLvk=")</f>
        <v>#VALUE!</v>
      </c>
      <c r="IQ63" t="e">
        <f>AND(Birds!BW35,"AAAAAF/nLvo=")</f>
        <v>#VALUE!</v>
      </c>
      <c r="IR63" t="e">
        <f>AND(Birds!BX35,"AAAAAF/nLvs=")</f>
        <v>#VALUE!</v>
      </c>
      <c r="IS63" t="e">
        <f>AND(Birds!BY35,"AAAAAF/nLvw=")</f>
        <v>#VALUE!</v>
      </c>
      <c r="IT63" t="e">
        <f>AND(Birds!BZ35,"AAAAAF/nLv0=")</f>
        <v>#VALUE!</v>
      </c>
      <c r="IU63" t="e">
        <f>AND(Birds!CA35,"AAAAAF/nLv4=")</f>
        <v>#VALUE!</v>
      </c>
      <c r="IV63" t="e">
        <f>AND(Birds!CB35,"AAAAAF/nLv8=")</f>
        <v>#VALUE!</v>
      </c>
    </row>
    <row r="64" spans="1:256">
      <c r="A64" t="e">
        <f>AND(Birds!CC35,"AAAAAD/1pQA=")</f>
        <v>#VALUE!</v>
      </c>
      <c r="B64" t="e">
        <f>AND(Birds!CD35,"AAAAAD/1pQE=")</f>
        <v>#VALUE!</v>
      </c>
      <c r="C64" t="e">
        <f>AND(Birds!CE35,"AAAAAD/1pQI=")</f>
        <v>#VALUE!</v>
      </c>
      <c r="D64" t="e">
        <f>AND(Birds!CF35,"AAAAAD/1pQM=")</f>
        <v>#VALUE!</v>
      </c>
      <c r="E64" t="e">
        <f>AND(Birds!CG35,"AAAAAD/1pQQ=")</f>
        <v>#VALUE!</v>
      </c>
      <c r="F64" t="e">
        <f>AND(Birds!CH35,"AAAAAD/1pQU=")</f>
        <v>#VALUE!</v>
      </c>
      <c r="G64" t="e">
        <f>AND(Birds!CI35,"AAAAAD/1pQY=")</f>
        <v>#VALUE!</v>
      </c>
      <c r="H64" t="e">
        <f>AND(Birds!CJ35,"AAAAAD/1pQc=")</f>
        <v>#VALUE!</v>
      </c>
      <c r="I64" t="e">
        <f>AND(Birds!CK35,"AAAAAD/1pQg=")</f>
        <v>#VALUE!</v>
      </c>
      <c r="J64" t="e">
        <f>AND(Birds!CL35,"AAAAAD/1pQk=")</f>
        <v>#VALUE!</v>
      </c>
      <c r="K64" t="e">
        <f>AND(Birds!CM35,"AAAAAD/1pQo=")</f>
        <v>#VALUE!</v>
      </c>
      <c r="L64" t="e">
        <f>AND(Birds!CN35,"AAAAAD/1pQs=")</f>
        <v>#VALUE!</v>
      </c>
      <c r="M64" t="e">
        <f>AND(Birds!CO35,"AAAAAD/1pQw=")</f>
        <v>#VALUE!</v>
      </c>
      <c r="N64" t="e">
        <f>AND(Birds!CP35,"AAAAAD/1pQ0=")</f>
        <v>#VALUE!</v>
      </c>
      <c r="O64" t="e">
        <f>AND(Birds!CQ35,"AAAAAD/1pQ4=")</f>
        <v>#VALUE!</v>
      </c>
      <c r="P64" t="e">
        <f>AND(Birds!CR35,"AAAAAD/1pQ8=")</f>
        <v>#VALUE!</v>
      </c>
      <c r="Q64" t="e">
        <f>AND(Birds!CS35,"AAAAAD/1pRA=")</f>
        <v>#VALUE!</v>
      </c>
      <c r="R64" t="e">
        <f>AND(Birds!CT35,"AAAAAD/1pRE=")</f>
        <v>#VALUE!</v>
      </c>
      <c r="S64" t="e">
        <f>AND(Birds!CU35,"AAAAAD/1pRI=")</f>
        <v>#VALUE!</v>
      </c>
      <c r="T64" t="e">
        <f>AND(Birds!CV35,"AAAAAD/1pRM=")</f>
        <v>#VALUE!</v>
      </c>
      <c r="U64" t="e">
        <f>AND(Birds!CW35,"AAAAAD/1pRQ=")</f>
        <v>#VALUE!</v>
      </c>
      <c r="V64" t="e">
        <f>AND(Birds!CX35,"AAAAAD/1pRU=")</f>
        <v>#VALUE!</v>
      </c>
      <c r="W64" t="e">
        <f>AND(Birds!CY35,"AAAAAD/1pRY=")</f>
        <v>#VALUE!</v>
      </c>
      <c r="X64" t="e">
        <f>AND(Birds!CZ35,"AAAAAD/1pRc=")</f>
        <v>#VALUE!</v>
      </c>
      <c r="Y64" t="e">
        <f>AND(Birds!DA35,"AAAAAD/1pRg=")</f>
        <v>#VALUE!</v>
      </c>
      <c r="Z64" t="e">
        <f>AND(Birds!DB35,"AAAAAD/1pRk=")</f>
        <v>#VALUE!</v>
      </c>
      <c r="AA64" t="e">
        <f>AND(Birds!DC35,"AAAAAD/1pRo=")</f>
        <v>#VALUE!</v>
      </c>
      <c r="AB64" t="e">
        <f>AND(Birds!DD35,"AAAAAD/1pRs=")</f>
        <v>#VALUE!</v>
      </c>
      <c r="AC64" t="e">
        <f>AND(Birds!DE35,"AAAAAD/1pRw=")</f>
        <v>#VALUE!</v>
      </c>
      <c r="AD64" t="e">
        <f>AND(Birds!DF35,"AAAAAD/1pR0=")</f>
        <v>#VALUE!</v>
      </c>
      <c r="AE64" t="e">
        <f>AND(Birds!DG35,"AAAAAD/1pR4=")</f>
        <v>#VALUE!</v>
      </c>
      <c r="AF64" t="e">
        <f>AND(Birds!DH35,"AAAAAD/1pR8=")</f>
        <v>#VALUE!</v>
      </c>
      <c r="AG64" t="e">
        <f>AND(Birds!DI35,"AAAAAD/1pSA=")</f>
        <v>#VALUE!</v>
      </c>
      <c r="AH64" t="e">
        <f>AND(Birds!DJ35,"AAAAAD/1pSE=")</f>
        <v>#VALUE!</v>
      </c>
      <c r="AI64" t="e">
        <f>AND(Birds!DK35,"AAAAAD/1pSI=")</f>
        <v>#VALUE!</v>
      </c>
      <c r="AJ64" t="e">
        <f>AND(Birds!DL35,"AAAAAD/1pSM=")</f>
        <v>#VALUE!</v>
      </c>
      <c r="AK64" t="e">
        <f>AND(Birds!DM35,"AAAAAD/1pSQ=")</f>
        <v>#VALUE!</v>
      </c>
      <c r="AL64" t="e">
        <f>AND(Birds!DN35,"AAAAAD/1pSU=")</f>
        <v>#VALUE!</v>
      </c>
      <c r="AM64" t="e">
        <f>AND(Birds!DO35,"AAAAAD/1pSY=")</f>
        <v>#VALUE!</v>
      </c>
      <c r="AN64" t="e">
        <f>AND(Birds!DP35,"AAAAAD/1pSc=")</f>
        <v>#VALUE!</v>
      </c>
      <c r="AO64" t="e">
        <f>AND(Birds!DQ35,"AAAAAD/1pSg=")</f>
        <v>#VALUE!</v>
      </c>
      <c r="AP64" t="e">
        <f>AND(Birds!DR35,"AAAAAD/1pSk=")</f>
        <v>#VALUE!</v>
      </c>
      <c r="AQ64" t="e">
        <f>AND(Birds!DS35,"AAAAAD/1pSo=")</f>
        <v>#VALUE!</v>
      </c>
      <c r="AR64" t="e">
        <f>AND(Birds!DT35,"AAAAAD/1pSs=")</f>
        <v>#VALUE!</v>
      </c>
      <c r="AS64" t="e">
        <f>AND(Birds!DU35,"AAAAAD/1pSw=")</f>
        <v>#VALUE!</v>
      </c>
      <c r="AT64" t="e">
        <f>AND(Birds!DV35,"AAAAAD/1pS0=")</f>
        <v>#VALUE!</v>
      </c>
      <c r="AU64" t="e">
        <f>AND(Birds!DW35,"AAAAAD/1pS4=")</f>
        <v>#VALUE!</v>
      </c>
      <c r="AV64" t="e">
        <f>AND(Birds!DX35,"AAAAAD/1pS8=")</f>
        <v>#VALUE!</v>
      </c>
      <c r="AW64" t="e">
        <f>AND(Birds!DY35,"AAAAAD/1pTA=")</f>
        <v>#VALUE!</v>
      </c>
      <c r="AX64" t="e">
        <f>AND(Birds!DZ35,"AAAAAD/1pTE=")</f>
        <v>#VALUE!</v>
      </c>
      <c r="AY64" t="e">
        <f>AND(Birds!EA35,"AAAAAD/1pTI=")</f>
        <v>#VALUE!</v>
      </c>
      <c r="AZ64" t="e">
        <f>AND(Birds!EB35,"AAAAAD/1pTM=")</f>
        <v>#VALUE!</v>
      </c>
      <c r="BA64" t="e">
        <f>AND(Birds!EC35,"AAAAAD/1pTQ=")</f>
        <v>#VALUE!</v>
      </c>
      <c r="BB64" t="e">
        <f>AND(Birds!ED35,"AAAAAD/1pTU=")</f>
        <v>#VALUE!</v>
      </c>
      <c r="BC64" t="e">
        <f>AND(Birds!EE35,"AAAAAD/1pTY=")</f>
        <v>#VALUE!</v>
      </c>
      <c r="BD64" t="e">
        <f>AND(Birds!EF35,"AAAAAD/1pTc=")</f>
        <v>#VALUE!</v>
      </c>
      <c r="BE64" t="e">
        <f>AND(Birds!EG35,"AAAAAD/1pTg=")</f>
        <v>#VALUE!</v>
      </c>
      <c r="BF64" t="e">
        <f>AND(Birds!EH35,"AAAAAD/1pTk=")</f>
        <v>#VALUE!</v>
      </c>
      <c r="BG64" t="e">
        <f>AND(Birds!EI35,"AAAAAD/1pTo=")</f>
        <v>#VALUE!</v>
      </c>
      <c r="BH64" t="e">
        <f>AND(Birds!EJ35,"AAAAAD/1pTs=")</f>
        <v>#VALUE!</v>
      </c>
      <c r="BI64" t="e">
        <f>AND(Birds!EK35,"AAAAAD/1pTw=")</f>
        <v>#VALUE!</v>
      </c>
      <c r="BJ64" t="e">
        <f>AND(Birds!EL35,"AAAAAD/1pT0=")</f>
        <v>#VALUE!</v>
      </c>
      <c r="BK64" t="e">
        <f>AND(Birds!EM35,"AAAAAD/1pT4=")</f>
        <v>#VALUE!</v>
      </c>
      <c r="BL64" t="e">
        <f>AND(Birds!EN35,"AAAAAD/1pT8=")</f>
        <v>#VALUE!</v>
      </c>
      <c r="BM64" t="e">
        <f>AND(Birds!EO35,"AAAAAD/1pUA=")</f>
        <v>#VALUE!</v>
      </c>
      <c r="BN64" t="e">
        <f>AND(Birds!EP35,"AAAAAD/1pUE=")</f>
        <v>#VALUE!</v>
      </c>
      <c r="BO64" t="e">
        <f>AND(Birds!EQ35,"AAAAAD/1pUI=")</f>
        <v>#VALUE!</v>
      </c>
      <c r="BP64" t="e">
        <f>AND(Birds!ER35,"AAAAAD/1pUM=")</f>
        <v>#VALUE!</v>
      </c>
      <c r="BQ64" t="e">
        <f>AND(Birds!ES35,"AAAAAD/1pUQ=")</f>
        <v>#VALUE!</v>
      </c>
      <c r="BR64" t="e">
        <f>AND(Birds!ET35,"AAAAAD/1pUU=")</f>
        <v>#VALUE!</v>
      </c>
      <c r="BS64" t="e">
        <f>AND(Birds!EU35,"AAAAAD/1pUY=")</f>
        <v>#VALUE!</v>
      </c>
      <c r="BT64" t="e">
        <f>AND(Birds!EV35,"AAAAAD/1pUc=")</f>
        <v>#VALUE!</v>
      </c>
      <c r="BU64" t="e">
        <f>AND(Birds!EW35,"AAAAAD/1pUg=")</f>
        <v>#VALUE!</v>
      </c>
      <c r="BV64" t="e">
        <f>AND(Birds!EX35,"AAAAAD/1pUk=")</f>
        <v>#VALUE!</v>
      </c>
      <c r="BW64" t="e">
        <f>AND(Birds!EY35,"AAAAAD/1pUo=")</f>
        <v>#VALUE!</v>
      </c>
      <c r="BX64" t="e">
        <f>AND(Birds!EZ35,"AAAAAD/1pUs=")</f>
        <v>#VALUE!</v>
      </c>
      <c r="BY64" t="e">
        <f>AND(Birds!FA35,"AAAAAD/1pUw=")</f>
        <v>#VALUE!</v>
      </c>
      <c r="BZ64" t="e">
        <f>AND(Birds!FB35,"AAAAAD/1pU0=")</f>
        <v>#VALUE!</v>
      </c>
      <c r="CA64" t="e">
        <f>AND(Birds!FC35,"AAAAAD/1pU4=")</f>
        <v>#VALUE!</v>
      </c>
      <c r="CB64" t="e">
        <f>AND(Birds!FD35,"AAAAAD/1pU8=")</f>
        <v>#VALUE!</v>
      </c>
      <c r="CC64" t="e">
        <f>AND(Birds!FE35,"AAAAAD/1pVA=")</f>
        <v>#VALUE!</v>
      </c>
      <c r="CD64" t="e">
        <f>AND(Birds!FF35,"AAAAAD/1pVE=")</f>
        <v>#VALUE!</v>
      </c>
      <c r="CE64" t="e">
        <f>AND(Birds!FG35,"AAAAAD/1pVI=")</f>
        <v>#VALUE!</v>
      </c>
      <c r="CF64" t="e">
        <f>AND(Birds!FH35,"AAAAAD/1pVM=")</f>
        <v>#VALUE!</v>
      </c>
      <c r="CG64" t="e">
        <f>AND(Birds!FI35,"AAAAAD/1pVQ=")</f>
        <v>#VALUE!</v>
      </c>
      <c r="CH64" t="e">
        <f>AND(Birds!FJ35,"AAAAAD/1pVU=")</f>
        <v>#VALUE!</v>
      </c>
      <c r="CI64" t="e">
        <f>AND(Birds!FK35,"AAAAAD/1pVY=")</f>
        <v>#VALUE!</v>
      </c>
      <c r="CJ64" t="e">
        <f>AND(Birds!FL35,"AAAAAD/1pVc=")</f>
        <v>#VALUE!</v>
      </c>
      <c r="CK64" t="e">
        <f>AND(Birds!FM35,"AAAAAD/1pVg=")</f>
        <v>#VALUE!</v>
      </c>
      <c r="CL64" t="e">
        <f>AND(Birds!FN35,"AAAAAD/1pVk=")</f>
        <v>#VALUE!</v>
      </c>
      <c r="CM64" t="e">
        <f>AND(Birds!FO35,"AAAAAD/1pVo=")</f>
        <v>#VALUE!</v>
      </c>
      <c r="CN64" t="e">
        <f>AND(Birds!FP35,"AAAAAD/1pVs=")</f>
        <v>#VALUE!</v>
      </c>
      <c r="CO64" t="e">
        <f>AND(Birds!FQ35,"AAAAAD/1pVw=")</f>
        <v>#VALUE!</v>
      </c>
      <c r="CP64" t="e">
        <f>AND(Birds!FR35,"AAAAAD/1pV0=")</f>
        <v>#VALUE!</v>
      </c>
      <c r="CQ64" t="e">
        <f>AND(Birds!FS35,"AAAAAD/1pV4=")</f>
        <v>#VALUE!</v>
      </c>
      <c r="CR64" t="e">
        <f>AND(Birds!FT35,"AAAAAD/1pV8=")</f>
        <v>#VALUE!</v>
      </c>
      <c r="CS64" t="e">
        <f>AND(Birds!FU35,"AAAAAD/1pWA=")</f>
        <v>#VALUE!</v>
      </c>
      <c r="CT64" t="e">
        <f>AND(Birds!FV35,"AAAAAD/1pWE=")</f>
        <v>#VALUE!</v>
      </c>
      <c r="CU64" t="e">
        <f>AND(Birds!FW35,"AAAAAD/1pWI=")</f>
        <v>#VALUE!</v>
      </c>
      <c r="CV64" t="e">
        <f>AND(Birds!FX35,"AAAAAD/1pWM=")</f>
        <v>#VALUE!</v>
      </c>
      <c r="CW64" t="e">
        <f>AND(Birds!FY35,"AAAAAD/1pWQ=")</f>
        <v>#VALUE!</v>
      </c>
      <c r="CX64" t="e">
        <f>AND(Birds!FZ35,"AAAAAD/1pWU=")</f>
        <v>#VALUE!</v>
      </c>
      <c r="CY64" t="e">
        <f>AND(Birds!GA35,"AAAAAD/1pWY=")</f>
        <v>#VALUE!</v>
      </c>
      <c r="CZ64" t="e">
        <f>AND(Birds!GB35,"AAAAAD/1pWc=")</f>
        <v>#VALUE!</v>
      </c>
      <c r="DA64" t="e">
        <f>AND(Birds!GC35,"AAAAAD/1pWg=")</f>
        <v>#VALUE!</v>
      </c>
      <c r="DB64" t="e">
        <f>AND(Birds!GD35,"AAAAAD/1pWk=")</f>
        <v>#VALUE!</v>
      </c>
      <c r="DC64" t="e">
        <f>AND(Birds!GE35,"AAAAAD/1pWo=")</f>
        <v>#VALUE!</v>
      </c>
      <c r="DD64" t="e">
        <f>AND(Birds!GF35,"AAAAAD/1pWs=")</f>
        <v>#VALUE!</v>
      </c>
      <c r="DE64" t="e">
        <f>AND(Birds!GG35,"AAAAAD/1pWw=")</f>
        <v>#VALUE!</v>
      </c>
      <c r="DF64" t="e">
        <f>AND(Birds!GH35,"AAAAAD/1pW0=")</f>
        <v>#VALUE!</v>
      </c>
      <c r="DG64" t="e">
        <f>AND(Birds!GI35,"AAAAAD/1pW4=")</f>
        <v>#VALUE!</v>
      </c>
      <c r="DH64" t="e">
        <f>AND(Birds!GJ35,"AAAAAD/1pW8=")</f>
        <v>#VALUE!</v>
      </c>
      <c r="DI64" t="e">
        <f>AND(Birds!GK35,"AAAAAD/1pXA=")</f>
        <v>#VALUE!</v>
      </c>
      <c r="DJ64" t="e">
        <f>AND(Birds!GL35,"AAAAAD/1pXE=")</f>
        <v>#VALUE!</v>
      </c>
      <c r="DK64" t="e">
        <f>AND(Birds!GM35,"AAAAAD/1pXI=")</f>
        <v>#VALUE!</v>
      </c>
      <c r="DL64">
        <f>IF(Birds!36:36,"AAAAAD/1pXM=",0)</f>
        <v>0</v>
      </c>
      <c r="DM64" t="e">
        <f>AND(Birds!A36,"AAAAAD/1pXQ=")</f>
        <v>#VALUE!</v>
      </c>
      <c r="DN64" t="e">
        <f>AND(Birds!B36,"AAAAAD/1pXU=")</f>
        <v>#VALUE!</v>
      </c>
      <c r="DO64" t="e">
        <f>AND(Birds!C36,"AAAAAD/1pXY=")</f>
        <v>#VALUE!</v>
      </c>
      <c r="DP64" t="e">
        <f>AND(Birds!D36,"AAAAAD/1pXc=")</f>
        <v>#VALUE!</v>
      </c>
      <c r="DQ64" t="e">
        <f>AND(Birds!E36,"AAAAAD/1pXg=")</f>
        <v>#VALUE!</v>
      </c>
      <c r="DR64" t="e">
        <f>AND(Birds!F36,"AAAAAD/1pXk=")</f>
        <v>#VALUE!</v>
      </c>
      <c r="DS64" t="e">
        <f>AND(Birds!G36,"AAAAAD/1pXo=")</f>
        <v>#VALUE!</v>
      </c>
      <c r="DT64" t="e">
        <f>AND(Birds!H36,"AAAAAD/1pXs=")</f>
        <v>#VALUE!</v>
      </c>
      <c r="DU64" t="e">
        <f>AND(Birds!I36,"AAAAAD/1pXw=")</f>
        <v>#VALUE!</v>
      </c>
      <c r="DV64" t="e">
        <f>AND(Birds!J36,"AAAAAD/1pX0=")</f>
        <v>#VALUE!</v>
      </c>
      <c r="DW64" t="e">
        <f>AND(Birds!K36,"AAAAAD/1pX4=")</f>
        <v>#VALUE!</v>
      </c>
      <c r="DX64" t="e">
        <f>AND(Birds!L36,"AAAAAD/1pX8=")</f>
        <v>#VALUE!</v>
      </c>
      <c r="DY64" t="e">
        <f>AND(Birds!M36,"AAAAAD/1pYA=")</f>
        <v>#VALUE!</v>
      </c>
      <c r="DZ64" t="e">
        <f>AND(Birds!N36,"AAAAAD/1pYE=")</f>
        <v>#VALUE!</v>
      </c>
      <c r="EA64" t="e">
        <f>AND(Birds!O36,"AAAAAD/1pYI=")</f>
        <v>#VALUE!</v>
      </c>
      <c r="EB64" t="e">
        <f>AND(Birds!P36,"AAAAAD/1pYM=")</f>
        <v>#VALUE!</v>
      </c>
      <c r="EC64" t="e">
        <f>AND(Birds!Q36,"AAAAAD/1pYQ=")</f>
        <v>#VALUE!</v>
      </c>
      <c r="ED64" t="e">
        <f>AND(Birds!R36,"AAAAAD/1pYU=")</f>
        <v>#VALUE!</v>
      </c>
      <c r="EE64" t="e">
        <f>AND(Birds!S36,"AAAAAD/1pYY=")</f>
        <v>#VALUE!</v>
      </c>
      <c r="EF64" t="e">
        <f>AND(Birds!T36,"AAAAAD/1pYc=")</f>
        <v>#VALUE!</v>
      </c>
      <c r="EG64" t="e">
        <f>AND(Birds!U36,"AAAAAD/1pYg=")</f>
        <v>#VALUE!</v>
      </c>
      <c r="EH64" t="e">
        <f>AND(Birds!V36,"AAAAAD/1pYk=")</f>
        <v>#VALUE!</v>
      </c>
      <c r="EI64" t="e">
        <f>AND(Birds!W36,"AAAAAD/1pYo=")</f>
        <v>#VALUE!</v>
      </c>
      <c r="EJ64" t="e">
        <f>AND(Birds!X36,"AAAAAD/1pYs=")</f>
        <v>#VALUE!</v>
      </c>
      <c r="EK64" t="e">
        <f>AND(Birds!Y36,"AAAAAD/1pYw=")</f>
        <v>#VALUE!</v>
      </c>
      <c r="EL64" t="e">
        <f>AND(Birds!Z36,"AAAAAD/1pY0=")</f>
        <v>#VALUE!</v>
      </c>
      <c r="EM64" t="e">
        <f>AND(Birds!AA36,"AAAAAD/1pY4=")</f>
        <v>#VALUE!</v>
      </c>
      <c r="EN64" t="e">
        <f>AND(Birds!AB36,"AAAAAD/1pY8=")</f>
        <v>#VALUE!</v>
      </c>
      <c r="EO64" t="e">
        <f>AND(Birds!AC36,"AAAAAD/1pZA=")</f>
        <v>#VALUE!</v>
      </c>
      <c r="EP64" t="e">
        <f>AND(Birds!AD36,"AAAAAD/1pZE=")</f>
        <v>#VALUE!</v>
      </c>
      <c r="EQ64" t="e">
        <f>AND(Birds!AE36,"AAAAAD/1pZI=")</f>
        <v>#VALUE!</v>
      </c>
      <c r="ER64" t="e">
        <f>AND(Birds!AF36,"AAAAAD/1pZM=")</f>
        <v>#VALUE!</v>
      </c>
      <c r="ES64" t="e">
        <f>AND(Birds!AG36,"AAAAAD/1pZQ=")</f>
        <v>#VALUE!</v>
      </c>
      <c r="ET64" t="e">
        <f>AND(Birds!AH36,"AAAAAD/1pZU=")</f>
        <v>#VALUE!</v>
      </c>
      <c r="EU64" t="e">
        <f>AND(Birds!AI36,"AAAAAD/1pZY=")</f>
        <v>#VALUE!</v>
      </c>
      <c r="EV64" t="e">
        <f>AND(Birds!AJ36,"AAAAAD/1pZc=")</f>
        <v>#VALUE!</v>
      </c>
      <c r="EW64" t="e">
        <f>AND(Birds!AK36,"AAAAAD/1pZg=")</f>
        <v>#VALUE!</v>
      </c>
      <c r="EX64" t="e">
        <f>AND(Birds!AL36,"AAAAAD/1pZk=")</f>
        <v>#VALUE!</v>
      </c>
      <c r="EY64" t="e">
        <f>AND(Birds!AM36,"AAAAAD/1pZo=")</f>
        <v>#VALUE!</v>
      </c>
      <c r="EZ64" t="e">
        <f>AND(Birds!AN36,"AAAAAD/1pZs=")</f>
        <v>#VALUE!</v>
      </c>
      <c r="FA64" t="e">
        <f>AND(Birds!AO36,"AAAAAD/1pZw=")</f>
        <v>#VALUE!</v>
      </c>
      <c r="FB64" t="e">
        <f>AND(Birds!AP36,"AAAAAD/1pZ0=")</f>
        <v>#VALUE!</v>
      </c>
      <c r="FC64" t="e">
        <f>AND(Birds!AQ36,"AAAAAD/1pZ4=")</f>
        <v>#VALUE!</v>
      </c>
      <c r="FD64" t="e">
        <f>AND(Birds!AR36,"AAAAAD/1pZ8=")</f>
        <v>#VALUE!</v>
      </c>
      <c r="FE64" t="e">
        <f>AND(Birds!AS36,"AAAAAD/1paA=")</f>
        <v>#VALUE!</v>
      </c>
      <c r="FF64" t="e">
        <f>AND(Birds!AT36,"AAAAAD/1paE=")</f>
        <v>#VALUE!</v>
      </c>
      <c r="FG64" t="e">
        <f>AND(Birds!AU36,"AAAAAD/1paI=")</f>
        <v>#VALUE!</v>
      </c>
      <c r="FH64" t="e">
        <f>AND(Birds!AV36,"AAAAAD/1paM=")</f>
        <v>#VALUE!</v>
      </c>
      <c r="FI64" t="e">
        <f>AND(Birds!AW36,"AAAAAD/1paQ=")</f>
        <v>#VALUE!</v>
      </c>
      <c r="FJ64" t="e">
        <f>AND(Birds!AX36,"AAAAAD/1paU=")</f>
        <v>#VALUE!</v>
      </c>
      <c r="FK64" t="e">
        <f>AND(Birds!AY36,"AAAAAD/1paY=")</f>
        <v>#VALUE!</v>
      </c>
      <c r="FL64" t="e">
        <f>AND(Birds!AZ36,"AAAAAD/1pac=")</f>
        <v>#VALUE!</v>
      </c>
      <c r="FM64" t="e">
        <f>AND(Birds!BA36,"AAAAAD/1pag=")</f>
        <v>#VALUE!</v>
      </c>
      <c r="FN64" t="e">
        <f>AND(Birds!BB36,"AAAAAD/1pak=")</f>
        <v>#VALUE!</v>
      </c>
      <c r="FO64" t="e">
        <f>AND(Birds!BC36,"AAAAAD/1pao=")</f>
        <v>#VALUE!</v>
      </c>
      <c r="FP64" t="e">
        <f>AND(Birds!BD36,"AAAAAD/1pas=")</f>
        <v>#VALUE!</v>
      </c>
      <c r="FQ64" t="e">
        <f>AND(Birds!BE36,"AAAAAD/1paw=")</f>
        <v>#VALUE!</v>
      </c>
      <c r="FR64" t="e">
        <f>AND(Birds!BF36,"AAAAAD/1pa0=")</f>
        <v>#VALUE!</v>
      </c>
      <c r="FS64" t="e">
        <f>AND(Birds!BG36,"AAAAAD/1pa4=")</f>
        <v>#VALUE!</v>
      </c>
      <c r="FT64" t="e">
        <f>AND(Birds!BH36,"AAAAAD/1pa8=")</f>
        <v>#VALUE!</v>
      </c>
      <c r="FU64" t="e">
        <f>AND(Birds!BI36,"AAAAAD/1pbA=")</f>
        <v>#VALUE!</v>
      </c>
      <c r="FV64" t="e">
        <f>AND(Birds!BJ36,"AAAAAD/1pbE=")</f>
        <v>#VALUE!</v>
      </c>
      <c r="FW64" t="e">
        <f>AND(Birds!BK36,"AAAAAD/1pbI=")</f>
        <v>#VALUE!</v>
      </c>
      <c r="FX64" t="e">
        <f>AND(Birds!BL36,"AAAAAD/1pbM=")</f>
        <v>#VALUE!</v>
      </c>
      <c r="FY64" t="e">
        <f>AND(Birds!BM36,"AAAAAD/1pbQ=")</f>
        <v>#VALUE!</v>
      </c>
      <c r="FZ64" t="e">
        <f>AND(Birds!BN36,"AAAAAD/1pbU=")</f>
        <v>#VALUE!</v>
      </c>
      <c r="GA64" t="e">
        <f>AND(Birds!BO36,"AAAAAD/1pbY=")</f>
        <v>#VALUE!</v>
      </c>
      <c r="GB64" t="e">
        <f>AND(Birds!BP36,"AAAAAD/1pbc=")</f>
        <v>#VALUE!</v>
      </c>
      <c r="GC64" t="e">
        <f>AND(Birds!BQ36,"AAAAAD/1pbg=")</f>
        <v>#VALUE!</v>
      </c>
      <c r="GD64" t="e">
        <f>AND(Birds!BR36,"AAAAAD/1pbk=")</f>
        <v>#VALUE!</v>
      </c>
      <c r="GE64" t="e">
        <f>AND(Birds!BS36,"AAAAAD/1pbo=")</f>
        <v>#VALUE!</v>
      </c>
      <c r="GF64" t="e">
        <f>AND(Birds!BT36,"AAAAAD/1pbs=")</f>
        <v>#VALUE!</v>
      </c>
      <c r="GG64" t="e">
        <f>AND(Birds!BU36,"AAAAAD/1pbw=")</f>
        <v>#VALUE!</v>
      </c>
      <c r="GH64" t="e">
        <f>AND(Birds!BV36,"AAAAAD/1pb0=")</f>
        <v>#VALUE!</v>
      </c>
      <c r="GI64" t="e">
        <f>AND(Birds!BW36,"AAAAAD/1pb4=")</f>
        <v>#VALUE!</v>
      </c>
      <c r="GJ64" t="e">
        <f>AND(Birds!BX36,"AAAAAD/1pb8=")</f>
        <v>#VALUE!</v>
      </c>
      <c r="GK64" t="e">
        <f>AND(Birds!BY36,"AAAAAD/1pcA=")</f>
        <v>#VALUE!</v>
      </c>
      <c r="GL64" t="e">
        <f>AND(Birds!BZ36,"AAAAAD/1pcE=")</f>
        <v>#VALUE!</v>
      </c>
      <c r="GM64" t="e">
        <f>AND(Birds!CA36,"AAAAAD/1pcI=")</f>
        <v>#VALUE!</v>
      </c>
      <c r="GN64" t="e">
        <f>AND(Birds!CB36,"AAAAAD/1pcM=")</f>
        <v>#VALUE!</v>
      </c>
      <c r="GO64" t="e">
        <f>AND(Birds!CC36,"AAAAAD/1pcQ=")</f>
        <v>#VALUE!</v>
      </c>
      <c r="GP64" t="e">
        <f>AND(Birds!CD36,"AAAAAD/1pcU=")</f>
        <v>#VALUE!</v>
      </c>
      <c r="GQ64" t="e">
        <f>AND(Birds!CE36,"AAAAAD/1pcY=")</f>
        <v>#VALUE!</v>
      </c>
      <c r="GR64" t="e">
        <f>AND(Birds!CF36,"AAAAAD/1pcc=")</f>
        <v>#VALUE!</v>
      </c>
      <c r="GS64" t="e">
        <f>AND(Birds!CG36,"AAAAAD/1pcg=")</f>
        <v>#VALUE!</v>
      </c>
      <c r="GT64" t="e">
        <f>AND(Birds!CH36,"AAAAAD/1pck=")</f>
        <v>#VALUE!</v>
      </c>
      <c r="GU64" t="e">
        <f>AND(Birds!CI36,"AAAAAD/1pco=")</f>
        <v>#VALUE!</v>
      </c>
      <c r="GV64" t="e">
        <f>AND(Birds!CJ36,"AAAAAD/1pcs=")</f>
        <v>#VALUE!</v>
      </c>
      <c r="GW64" t="e">
        <f>AND(Birds!CK36,"AAAAAD/1pcw=")</f>
        <v>#VALUE!</v>
      </c>
      <c r="GX64" t="e">
        <f>AND(Birds!CL36,"AAAAAD/1pc0=")</f>
        <v>#VALUE!</v>
      </c>
      <c r="GY64" t="e">
        <f>AND(Birds!CM36,"AAAAAD/1pc4=")</f>
        <v>#VALUE!</v>
      </c>
      <c r="GZ64" t="e">
        <f>AND(Birds!CN36,"AAAAAD/1pc8=")</f>
        <v>#VALUE!</v>
      </c>
      <c r="HA64" t="e">
        <f>AND(Birds!CO36,"AAAAAD/1pdA=")</f>
        <v>#VALUE!</v>
      </c>
      <c r="HB64" t="e">
        <f>AND(Birds!CP36,"AAAAAD/1pdE=")</f>
        <v>#VALUE!</v>
      </c>
      <c r="HC64" t="e">
        <f>AND(Birds!CQ36,"AAAAAD/1pdI=")</f>
        <v>#VALUE!</v>
      </c>
      <c r="HD64" t="e">
        <f>AND(Birds!CR36,"AAAAAD/1pdM=")</f>
        <v>#VALUE!</v>
      </c>
      <c r="HE64" t="e">
        <f>AND(Birds!CS36,"AAAAAD/1pdQ=")</f>
        <v>#VALUE!</v>
      </c>
      <c r="HF64" t="e">
        <f>AND(Birds!CT36,"AAAAAD/1pdU=")</f>
        <v>#VALUE!</v>
      </c>
      <c r="HG64" t="e">
        <f>AND(Birds!CU36,"AAAAAD/1pdY=")</f>
        <v>#VALUE!</v>
      </c>
      <c r="HH64" t="e">
        <f>AND(Birds!CV36,"AAAAAD/1pdc=")</f>
        <v>#VALUE!</v>
      </c>
      <c r="HI64" t="e">
        <f>AND(Birds!CW36,"AAAAAD/1pdg=")</f>
        <v>#VALUE!</v>
      </c>
      <c r="HJ64" t="e">
        <f>AND(Birds!CX36,"AAAAAD/1pdk=")</f>
        <v>#VALUE!</v>
      </c>
      <c r="HK64" t="e">
        <f>AND(Birds!CY36,"AAAAAD/1pdo=")</f>
        <v>#VALUE!</v>
      </c>
      <c r="HL64" t="e">
        <f>AND(Birds!CZ36,"AAAAAD/1pds=")</f>
        <v>#VALUE!</v>
      </c>
      <c r="HM64" t="e">
        <f>AND(Birds!DA36,"AAAAAD/1pdw=")</f>
        <v>#VALUE!</v>
      </c>
      <c r="HN64" t="e">
        <f>AND(Birds!DB36,"AAAAAD/1pd0=")</f>
        <v>#VALUE!</v>
      </c>
      <c r="HO64" t="e">
        <f>AND(Birds!DC36,"AAAAAD/1pd4=")</f>
        <v>#VALUE!</v>
      </c>
      <c r="HP64" t="e">
        <f>AND(Birds!DD36,"AAAAAD/1pd8=")</f>
        <v>#VALUE!</v>
      </c>
      <c r="HQ64" t="e">
        <f>AND(Birds!DE36,"AAAAAD/1peA=")</f>
        <v>#VALUE!</v>
      </c>
      <c r="HR64" t="e">
        <f>AND(Birds!DF36,"AAAAAD/1peE=")</f>
        <v>#VALUE!</v>
      </c>
      <c r="HS64" t="e">
        <f>AND(Birds!DG36,"AAAAAD/1peI=")</f>
        <v>#VALUE!</v>
      </c>
      <c r="HT64" t="e">
        <f>AND(Birds!DH36,"AAAAAD/1peM=")</f>
        <v>#VALUE!</v>
      </c>
      <c r="HU64" t="e">
        <f>AND(Birds!DI36,"AAAAAD/1peQ=")</f>
        <v>#VALUE!</v>
      </c>
      <c r="HV64" t="e">
        <f>AND(Birds!DJ36,"AAAAAD/1peU=")</f>
        <v>#VALUE!</v>
      </c>
      <c r="HW64" t="e">
        <f>AND(Birds!DK36,"AAAAAD/1peY=")</f>
        <v>#VALUE!</v>
      </c>
      <c r="HX64" t="e">
        <f>AND(Birds!DL36,"AAAAAD/1pec=")</f>
        <v>#VALUE!</v>
      </c>
      <c r="HY64" t="e">
        <f>AND(Birds!DM36,"AAAAAD/1peg=")</f>
        <v>#VALUE!</v>
      </c>
      <c r="HZ64" t="e">
        <f>AND(Birds!DN36,"AAAAAD/1pek=")</f>
        <v>#VALUE!</v>
      </c>
      <c r="IA64" t="e">
        <f>AND(Birds!DO36,"AAAAAD/1peo=")</f>
        <v>#VALUE!</v>
      </c>
      <c r="IB64" t="e">
        <f>AND(Birds!DP36,"AAAAAD/1pes=")</f>
        <v>#VALUE!</v>
      </c>
      <c r="IC64" t="e">
        <f>AND(Birds!DQ36,"AAAAAD/1pew=")</f>
        <v>#VALUE!</v>
      </c>
      <c r="ID64" t="e">
        <f>AND(Birds!DR36,"AAAAAD/1pe0=")</f>
        <v>#VALUE!</v>
      </c>
      <c r="IE64" t="e">
        <f>AND(Birds!DS36,"AAAAAD/1pe4=")</f>
        <v>#VALUE!</v>
      </c>
      <c r="IF64" t="e">
        <f>AND(Birds!DT36,"AAAAAD/1pe8=")</f>
        <v>#VALUE!</v>
      </c>
      <c r="IG64" t="e">
        <f>AND(Birds!DU36,"AAAAAD/1pfA=")</f>
        <v>#VALUE!</v>
      </c>
      <c r="IH64" t="e">
        <f>AND(Birds!DV36,"AAAAAD/1pfE=")</f>
        <v>#VALUE!</v>
      </c>
      <c r="II64" t="e">
        <f>AND(Birds!DW36,"AAAAAD/1pfI=")</f>
        <v>#VALUE!</v>
      </c>
      <c r="IJ64" t="e">
        <f>AND(Birds!DX36,"AAAAAD/1pfM=")</f>
        <v>#VALUE!</v>
      </c>
      <c r="IK64" t="e">
        <f>AND(Birds!DY36,"AAAAAD/1pfQ=")</f>
        <v>#VALUE!</v>
      </c>
      <c r="IL64" t="e">
        <f>AND(Birds!DZ36,"AAAAAD/1pfU=")</f>
        <v>#VALUE!</v>
      </c>
      <c r="IM64" t="e">
        <f>AND(Birds!EA36,"AAAAAD/1pfY=")</f>
        <v>#VALUE!</v>
      </c>
      <c r="IN64" t="e">
        <f>AND(Birds!EB36,"AAAAAD/1pfc=")</f>
        <v>#VALUE!</v>
      </c>
      <c r="IO64" t="e">
        <f>AND(Birds!EC36,"AAAAAD/1pfg=")</f>
        <v>#VALUE!</v>
      </c>
      <c r="IP64" t="e">
        <f>AND(Birds!ED36,"AAAAAD/1pfk=")</f>
        <v>#VALUE!</v>
      </c>
      <c r="IQ64" t="e">
        <f>AND(Birds!EE36,"AAAAAD/1pfo=")</f>
        <v>#VALUE!</v>
      </c>
      <c r="IR64" t="e">
        <f>AND(Birds!EF36,"AAAAAD/1pfs=")</f>
        <v>#VALUE!</v>
      </c>
      <c r="IS64" t="e">
        <f>AND(Birds!EG36,"AAAAAD/1pfw=")</f>
        <v>#VALUE!</v>
      </c>
      <c r="IT64" t="e">
        <f>AND(Birds!EH36,"AAAAAD/1pf0=")</f>
        <v>#VALUE!</v>
      </c>
      <c r="IU64" t="e">
        <f>AND(Birds!EI36,"AAAAAD/1pf4=")</f>
        <v>#VALUE!</v>
      </c>
      <c r="IV64" t="e">
        <f>AND(Birds!EJ36,"AAAAAD/1pf8=")</f>
        <v>#VALUE!</v>
      </c>
    </row>
    <row r="65" spans="1:256">
      <c r="A65" t="e">
        <f>AND(Birds!EK36,"AAAAAH3/egA=")</f>
        <v>#VALUE!</v>
      </c>
      <c r="B65" t="e">
        <f>AND(Birds!EL36,"AAAAAH3/egE=")</f>
        <v>#VALUE!</v>
      </c>
      <c r="C65" t="e">
        <f>AND(Birds!EM36,"AAAAAH3/egI=")</f>
        <v>#VALUE!</v>
      </c>
      <c r="D65" t="e">
        <f>AND(Birds!EN36,"AAAAAH3/egM=")</f>
        <v>#VALUE!</v>
      </c>
      <c r="E65" t="e">
        <f>AND(Birds!EO36,"AAAAAH3/egQ=")</f>
        <v>#VALUE!</v>
      </c>
      <c r="F65" t="e">
        <f>AND(Birds!EP36,"AAAAAH3/egU=")</f>
        <v>#VALUE!</v>
      </c>
      <c r="G65" t="e">
        <f>AND(Birds!EQ36,"AAAAAH3/egY=")</f>
        <v>#VALUE!</v>
      </c>
      <c r="H65" t="e">
        <f>AND(Birds!ER36,"AAAAAH3/egc=")</f>
        <v>#VALUE!</v>
      </c>
      <c r="I65" t="e">
        <f>AND(Birds!ES36,"AAAAAH3/egg=")</f>
        <v>#VALUE!</v>
      </c>
      <c r="J65" t="e">
        <f>AND(Birds!ET36,"AAAAAH3/egk=")</f>
        <v>#VALUE!</v>
      </c>
      <c r="K65" t="e">
        <f>AND(Birds!EU36,"AAAAAH3/ego=")</f>
        <v>#VALUE!</v>
      </c>
      <c r="L65" t="e">
        <f>AND(Birds!EV36,"AAAAAH3/egs=")</f>
        <v>#VALUE!</v>
      </c>
      <c r="M65" t="e">
        <f>AND(Birds!EW36,"AAAAAH3/egw=")</f>
        <v>#VALUE!</v>
      </c>
      <c r="N65" t="e">
        <f>AND(Birds!EX36,"AAAAAH3/eg0=")</f>
        <v>#VALUE!</v>
      </c>
      <c r="O65" t="e">
        <f>AND(Birds!EY36,"AAAAAH3/eg4=")</f>
        <v>#VALUE!</v>
      </c>
      <c r="P65" t="e">
        <f>AND(Birds!EZ36,"AAAAAH3/eg8=")</f>
        <v>#VALUE!</v>
      </c>
      <c r="Q65" t="e">
        <f>AND(Birds!FA36,"AAAAAH3/ehA=")</f>
        <v>#VALUE!</v>
      </c>
      <c r="R65" t="e">
        <f>AND(Birds!FB36,"AAAAAH3/ehE=")</f>
        <v>#VALUE!</v>
      </c>
      <c r="S65" t="e">
        <f>AND(Birds!FC36,"AAAAAH3/ehI=")</f>
        <v>#VALUE!</v>
      </c>
      <c r="T65" t="e">
        <f>AND(Birds!FD36,"AAAAAH3/ehM=")</f>
        <v>#VALUE!</v>
      </c>
      <c r="U65" t="e">
        <f>AND(Birds!FE36,"AAAAAH3/ehQ=")</f>
        <v>#VALUE!</v>
      </c>
      <c r="V65" t="e">
        <f>AND(Birds!FF36,"AAAAAH3/ehU=")</f>
        <v>#VALUE!</v>
      </c>
      <c r="W65" t="e">
        <f>AND(Birds!FG36,"AAAAAH3/ehY=")</f>
        <v>#VALUE!</v>
      </c>
      <c r="X65" t="e">
        <f>AND(Birds!FH36,"AAAAAH3/ehc=")</f>
        <v>#VALUE!</v>
      </c>
      <c r="Y65" t="e">
        <f>AND(Birds!FI36,"AAAAAH3/ehg=")</f>
        <v>#VALUE!</v>
      </c>
      <c r="Z65" t="e">
        <f>AND(Birds!FJ36,"AAAAAH3/ehk=")</f>
        <v>#VALUE!</v>
      </c>
      <c r="AA65" t="e">
        <f>AND(Birds!FK36,"AAAAAH3/eho=")</f>
        <v>#VALUE!</v>
      </c>
      <c r="AB65" t="e">
        <f>AND(Birds!FL36,"AAAAAH3/ehs=")</f>
        <v>#VALUE!</v>
      </c>
      <c r="AC65" t="e">
        <f>AND(Birds!FM36,"AAAAAH3/ehw=")</f>
        <v>#VALUE!</v>
      </c>
      <c r="AD65" t="e">
        <f>AND(Birds!FN36,"AAAAAH3/eh0=")</f>
        <v>#VALUE!</v>
      </c>
      <c r="AE65" t="e">
        <f>AND(Birds!FO36,"AAAAAH3/eh4=")</f>
        <v>#VALUE!</v>
      </c>
      <c r="AF65" t="e">
        <f>AND(Birds!FP36,"AAAAAH3/eh8=")</f>
        <v>#VALUE!</v>
      </c>
      <c r="AG65" t="e">
        <f>AND(Birds!FQ36,"AAAAAH3/eiA=")</f>
        <v>#VALUE!</v>
      </c>
      <c r="AH65" t="e">
        <f>AND(Birds!FR36,"AAAAAH3/eiE=")</f>
        <v>#VALUE!</v>
      </c>
      <c r="AI65" t="e">
        <f>AND(Birds!FS36,"AAAAAH3/eiI=")</f>
        <v>#VALUE!</v>
      </c>
      <c r="AJ65" t="e">
        <f>AND(Birds!FT36,"AAAAAH3/eiM=")</f>
        <v>#VALUE!</v>
      </c>
      <c r="AK65" t="e">
        <f>AND(Birds!FU36,"AAAAAH3/eiQ=")</f>
        <v>#VALUE!</v>
      </c>
      <c r="AL65" t="e">
        <f>AND(Birds!FV36,"AAAAAH3/eiU=")</f>
        <v>#VALUE!</v>
      </c>
      <c r="AM65" t="e">
        <f>AND(Birds!FW36,"AAAAAH3/eiY=")</f>
        <v>#VALUE!</v>
      </c>
      <c r="AN65" t="e">
        <f>AND(Birds!FX36,"AAAAAH3/eic=")</f>
        <v>#VALUE!</v>
      </c>
      <c r="AO65" t="e">
        <f>AND(Birds!FY36,"AAAAAH3/eig=")</f>
        <v>#VALUE!</v>
      </c>
      <c r="AP65" t="e">
        <f>AND(Birds!FZ36,"AAAAAH3/eik=")</f>
        <v>#VALUE!</v>
      </c>
      <c r="AQ65" t="e">
        <f>AND(Birds!GA36,"AAAAAH3/eio=")</f>
        <v>#VALUE!</v>
      </c>
      <c r="AR65" t="e">
        <f>AND(Birds!GB36,"AAAAAH3/eis=")</f>
        <v>#VALUE!</v>
      </c>
      <c r="AS65" t="e">
        <f>AND(Birds!GC36,"AAAAAH3/eiw=")</f>
        <v>#VALUE!</v>
      </c>
      <c r="AT65" t="e">
        <f>AND(Birds!GD36,"AAAAAH3/ei0=")</f>
        <v>#VALUE!</v>
      </c>
      <c r="AU65" t="e">
        <f>AND(Birds!GE36,"AAAAAH3/ei4=")</f>
        <v>#VALUE!</v>
      </c>
      <c r="AV65" t="e">
        <f>AND(Birds!GF36,"AAAAAH3/ei8=")</f>
        <v>#VALUE!</v>
      </c>
      <c r="AW65" t="e">
        <f>AND(Birds!GG36,"AAAAAH3/ejA=")</f>
        <v>#VALUE!</v>
      </c>
      <c r="AX65" t="e">
        <f>AND(Birds!GH36,"AAAAAH3/ejE=")</f>
        <v>#VALUE!</v>
      </c>
      <c r="AY65" t="e">
        <f>AND(Birds!GI36,"AAAAAH3/ejI=")</f>
        <v>#VALUE!</v>
      </c>
      <c r="AZ65" t="e">
        <f>AND(Birds!GJ36,"AAAAAH3/ejM=")</f>
        <v>#VALUE!</v>
      </c>
      <c r="BA65" t="e">
        <f>AND(Birds!GK36,"AAAAAH3/ejQ=")</f>
        <v>#VALUE!</v>
      </c>
      <c r="BB65" t="e">
        <f>AND(Birds!GL36,"AAAAAH3/ejU=")</f>
        <v>#VALUE!</v>
      </c>
      <c r="BC65" t="e">
        <f>AND(Birds!GM36,"AAAAAH3/ejY=")</f>
        <v>#VALUE!</v>
      </c>
      <c r="BD65">
        <f>IF(Birds!37:37,"AAAAAH3/ejc=",0)</f>
        <v>0</v>
      </c>
      <c r="BE65" t="e">
        <f>AND(Birds!A37,"AAAAAH3/ejg=")</f>
        <v>#VALUE!</v>
      </c>
      <c r="BF65" t="e">
        <f>AND(Birds!B37,"AAAAAH3/ejk=")</f>
        <v>#VALUE!</v>
      </c>
      <c r="BG65" t="e">
        <f>AND(Birds!C37,"AAAAAH3/ejo=")</f>
        <v>#VALUE!</v>
      </c>
      <c r="BH65" t="e">
        <f>AND(Birds!D37,"AAAAAH3/ejs=")</f>
        <v>#VALUE!</v>
      </c>
      <c r="BI65" t="e">
        <f>AND(Birds!E37,"AAAAAH3/ejw=")</f>
        <v>#VALUE!</v>
      </c>
      <c r="BJ65" t="e">
        <f>AND(Birds!F37,"AAAAAH3/ej0=")</f>
        <v>#VALUE!</v>
      </c>
      <c r="BK65" t="e">
        <f>AND(Birds!G37,"AAAAAH3/ej4=")</f>
        <v>#VALUE!</v>
      </c>
      <c r="BL65" t="e">
        <f>AND(Birds!H37,"AAAAAH3/ej8=")</f>
        <v>#VALUE!</v>
      </c>
      <c r="BM65" t="e">
        <f>AND(Birds!I37,"AAAAAH3/ekA=")</f>
        <v>#VALUE!</v>
      </c>
      <c r="BN65" t="e">
        <f>AND(Birds!J37,"AAAAAH3/ekE=")</f>
        <v>#VALUE!</v>
      </c>
      <c r="BO65" t="e">
        <f>AND(Birds!K37,"AAAAAH3/ekI=")</f>
        <v>#VALUE!</v>
      </c>
      <c r="BP65" t="e">
        <f>AND(Birds!L37,"AAAAAH3/ekM=")</f>
        <v>#VALUE!</v>
      </c>
      <c r="BQ65" t="e">
        <f>AND(Birds!M37,"AAAAAH3/ekQ=")</f>
        <v>#VALUE!</v>
      </c>
      <c r="BR65" t="e">
        <f>AND(Birds!N37,"AAAAAH3/ekU=")</f>
        <v>#VALUE!</v>
      </c>
      <c r="BS65" t="e">
        <f>AND(Birds!O37,"AAAAAH3/ekY=")</f>
        <v>#VALUE!</v>
      </c>
      <c r="BT65" t="e">
        <f>AND(Birds!P37,"AAAAAH3/ekc=")</f>
        <v>#VALUE!</v>
      </c>
      <c r="BU65" t="e">
        <f>AND(Birds!Q37,"AAAAAH3/ekg=")</f>
        <v>#VALUE!</v>
      </c>
      <c r="BV65" t="e">
        <f>AND(Birds!R37,"AAAAAH3/ekk=")</f>
        <v>#VALUE!</v>
      </c>
      <c r="BW65" t="e">
        <f>AND(Birds!S37,"AAAAAH3/eko=")</f>
        <v>#VALUE!</v>
      </c>
      <c r="BX65" t="e">
        <f>AND(Birds!T37,"AAAAAH3/eks=")</f>
        <v>#VALUE!</v>
      </c>
      <c r="BY65" t="e">
        <f>AND(Birds!U37,"AAAAAH3/ekw=")</f>
        <v>#VALUE!</v>
      </c>
      <c r="BZ65" t="e">
        <f>AND(Birds!V37,"AAAAAH3/ek0=")</f>
        <v>#VALUE!</v>
      </c>
      <c r="CA65" t="e">
        <f>AND(Birds!W37,"AAAAAH3/ek4=")</f>
        <v>#VALUE!</v>
      </c>
      <c r="CB65" t="e">
        <f>AND(Birds!X37,"AAAAAH3/ek8=")</f>
        <v>#VALUE!</v>
      </c>
      <c r="CC65" t="e">
        <f>AND(Birds!Y37,"AAAAAH3/elA=")</f>
        <v>#VALUE!</v>
      </c>
      <c r="CD65" t="e">
        <f>AND(Birds!Z37,"AAAAAH3/elE=")</f>
        <v>#VALUE!</v>
      </c>
      <c r="CE65" t="e">
        <f>AND(Birds!AA37,"AAAAAH3/elI=")</f>
        <v>#VALUE!</v>
      </c>
      <c r="CF65" t="e">
        <f>AND(Birds!AB37,"AAAAAH3/elM=")</f>
        <v>#VALUE!</v>
      </c>
      <c r="CG65" t="e">
        <f>AND(Birds!AC37,"AAAAAH3/elQ=")</f>
        <v>#VALUE!</v>
      </c>
      <c r="CH65" t="e">
        <f>AND(Birds!AD37,"AAAAAH3/elU=")</f>
        <v>#VALUE!</v>
      </c>
      <c r="CI65" t="e">
        <f>AND(Birds!AE37,"AAAAAH3/elY=")</f>
        <v>#VALUE!</v>
      </c>
      <c r="CJ65" t="e">
        <f>AND(Birds!AF37,"AAAAAH3/elc=")</f>
        <v>#VALUE!</v>
      </c>
      <c r="CK65" t="e">
        <f>AND(Birds!AG37,"AAAAAH3/elg=")</f>
        <v>#VALUE!</v>
      </c>
      <c r="CL65" t="e">
        <f>AND(Birds!AH37,"AAAAAH3/elk=")</f>
        <v>#VALUE!</v>
      </c>
      <c r="CM65" t="e">
        <f>AND(Birds!AI37,"AAAAAH3/elo=")</f>
        <v>#VALUE!</v>
      </c>
      <c r="CN65" t="e">
        <f>AND(Birds!AJ37,"AAAAAH3/els=")</f>
        <v>#VALUE!</v>
      </c>
      <c r="CO65" t="e">
        <f>AND(Birds!AK37,"AAAAAH3/elw=")</f>
        <v>#VALUE!</v>
      </c>
      <c r="CP65" t="e">
        <f>AND(Birds!AL37,"AAAAAH3/el0=")</f>
        <v>#VALUE!</v>
      </c>
      <c r="CQ65" t="e">
        <f>AND(Birds!AM37,"AAAAAH3/el4=")</f>
        <v>#VALUE!</v>
      </c>
      <c r="CR65" t="e">
        <f>AND(Birds!AN37,"AAAAAH3/el8=")</f>
        <v>#VALUE!</v>
      </c>
      <c r="CS65" t="e">
        <f>AND(Birds!AO37,"AAAAAH3/emA=")</f>
        <v>#VALUE!</v>
      </c>
      <c r="CT65" t="e">
        <f>AND(Birds!AP37,"AAAAAH3/emE=")</f>
        <v>#VALUE!</v>
      </c>
      <c r="CU65" t="e">
        <f>AND(Birds!AQ37,"AAAAAH3/emI=")</f>
        <v>#VALUE!</v>
      </c>
      <c r="CV65" t="e">
        <f>AND(Birds!AR37,"AAAAAH3/emM=")</f>
        <v>#VALUE!</v>
      </c>
      <c r="CW65" t="e">
        <f>AND(Birds!AS37,"AAAAAH3/emQ=")</f>
        <v>#VALUE!</v>
      </c>
      <c r="CX65" t="e">
        <f>AND(Birds!AT37,"AAAAAH3/emU=")</f>
        <v>#VALUE!</v>
      </c>
      <c r="CY65" t="e">
        <f>AND(Birds!AU37,"AAAAAH3/emY=")</f>
        <v>#VALUE!</v>
      </c>
      <c r="CZ65" t="e">
        <f>AND(Birds!AV37,"AAAAAH3/emc=")</f>
        <v>#VALUE!</v>
      </c>
      <c r="DA65" t="e">
        <f>AND(Birds!AW37,"AAAAAH3/emg=")</f>
        <v>#VALUE!</v>
      </c>
      <c r="DB65" t="e">
        <f>AND(Birds!AX37,"AAAAAH3/emk=")</f>
        <v>#VALUE!</v>
      </c>
      <c r="DC65" t="e">
        <f>AND(Birds!AY37,"AAAAAH3/emo=")</f>
        <v>#VALUE!</v>
      </c>
      <c r="DD65" t="e">
        <f>AND(Birds!AZ37,"AAAAAH3/ems=")</f>
        <v>#VALUE!</v>
      </c>
      <c r="DE65" t="e">
        <f>AND(Birds!BA37,"AAAAAH3/emw=")</f>
        <v>#VALUE!</v>
      </c>
      <c r="DF65" t="e">
        <f>AND(Birds!BB37,"AAAAAH3/em0=")</f>
        <v>#VALUE!</v>
      </c>
      <c r="DG65" t="e">
        <f>AND(Birds!BC37,"AAAAAH3/em4=")</f>
        <v>#VALUE!</v>
      </c>
      <c r="DH65" t="e">
        <f>AND(Birds!BD37,"AAAAAH3/em8=")</f>
        <v>#VALUE!</v>
      </c>
      <c r="DI65" t="e">
        <f>AND(Birds!BE37,"AAAAAH3/enA=")</f>
        <v>#VALUE!</v>
      </c>
      <c r="DJ65" t="e">
        <f>AND(Birds!BF37,"AAAAAH3/enE=")</f>
        <v>#VALUE!</v>
      </c>
      <c r="DK65" t="e">
        <f>AND(Birds!BG37,"AAAAAH3/enI=")</f>
        <v>#VALUE!</v>
      </c>
      <c r="DL65" t="e">
        <f>AND(Birds!BH37,"AAAAAH3/enM=")</f>
        <v>#VALUE!</v>
      </c>
      <c r="DM65" t="e">
        <f>AND(Birds!BI37,"AAAAAH3/enQ=")</f>
        <v>#VALUE!</v>
      </c>
      <c r="DN65" t="e">
        <f>AND(Birds!BJ37,"AAAAAH3/enU=")</f>
        <v>#VALUE!</v>
      </c>
      <c r="DO65" t="e">
        <f>AND(Birds!BK37,"AAAAAH3/enY=")</f>
        <v>#VALUE!</v>
      </c>
      <c r="DP65" t="e">
        <f>AND(Birds!BL37,"AAAAAH3/enc=")</f>
        <v>#VALUE!</v>
      </c>
      <c r="DQ65" t="e">
        <f>AND(Birds!BM37,"AAAAAH3/eng=")</f>
        <v>#VALUE!</v>
      </c>
      <c r="DR65" t="e">
        <f>AND(Birds!BN37,"AAAAAH3/enk=")</f>
        <v>#VALUE!</v>
      </c>
      <c r="DS65" t="e">
        <f>AND(Birds!BO37,"AAAAAH3/eno=")</f>
        <v>#VALUE!</v>
      </c>
      <c r="DT65" t="e">
        <f>AND(Birds!BP37,"AAAAAH3/ens=")</f>
        <v>#VALUE!</v>
      </c>
      <c r="DU65" t="e">
        <f>AND(Birds!BQ37,"AAAAAH3/enw=")</f>
        <v>#VALUE!</v>
      </c>
      <c r="DV65" t="e">
        <f>AND(Birds!BR37,"AAAAAH3/en0=")</f>
        <v>#VALUE!</v>
      </c>
      <c r="DW65" t="e">
        <f>AND(Birds!BS37,"AAAAAH3/en4=")</f>
        <v>#VALUE!</v>
      </c>
      <c r="DX65" t="e">
        <f>AND(Birds!BT37,"AAAAAH3/en8=")</f>
        <v>#VALUE!</v>
      </c>
      <c r="DY65" t="e">
        <f>AND(Birds!BU37,"AAAAAH3/eoA=")</f>
        <v>#VALUE!</v>
      </c>
      <c r="DZ65" t="e">
        <f>AND(Birds!BV37,"AAAAAH3/eoE=")</f>
        <v>#VALUE!</v>
      </c>
      <c r="EA65" t="e">
        <f>AND(Birds!BW37,"AAAAAH3/eoI=")</f>
        <v>#VALUE!</v>
      </c>
      <c r="EB65" t="e">
        <f>AND(Birds!BX37,"AAAAAH3/eoM=")</f>
        <v>#VALUE!</v>
      </c>
      <c r="EC65" t="e">
        <f>AND(Birds!BY37,"AAAAAH3/eoQ=")</f>
        <v>#VALUE!</v>
      </c>
      <c r="ED65" t="e">
        <f>AND(Birds!BZ37,"AAAAAH3/eoU=")</f>
        <v>#VALUE!</v>
      </c>
      <c r="EE65" t="e">
        <f>AND(Birds!CA37,"AAAAAH3/eoY=")</f>
        <v>#VALUE!</v>
      </c>
      <c r="EF65" t="e">
        <f>AND(Birds!CB37,"AAAAAH3/eoc=")</f>
        <v>#VALUE!</v>
      </c>
      <c r="EG65" t="e">
        <f>AND(Birds!CC37,"AAAAAH3/eog=")</f>
        <v>#VALUE!</v>
      </c>
      <c r="EH65" t="e">
        <f>AND(Birds!CD37,"AAAAAH3/eok=")</f>
        <v>#VALUE!</v>
      </c>
      <c r="EI65" t="e">
        <f>AND(Birds!CE37,"AAAAAH3/eoo=")</f>
        <v>#VALUE!</v>
      </c>
      <c r="EJ65" t="e">
        <f>AND(Birds!CF37,"AAAAAH3/eos=")</f>
        <v>#VALUE!</v>
      </c>
      <c r="EK65" t="e">
        <f>AND(Birds!CG37,"AAAAAH3/eow=")</f>
        <v>#VALUE!</v>
      </c>
      <c r="EL65" t="e">
        <f>AND(Birds!CH37,"AAAAAH3/eo0=")</f>
        <v>#VALUE!</v>
      </c>
      <c r="EM65" t="e">
        <f>AND(Birds!CI37,"AAAAAH3/eo4=")</f>
        <v>#VALUE!</v>
      </c>
      <c r="EN65" t="e">
        <f>AND(Birds!CJ37,"AAAAAH3/eo8=")</f>
        <v>#VALUE!</v>
      </c>
      <c r="EO65" t="e">
        <f>AND(Birds!CK37,"AAAAAH3/epA=")</f>
        <v>#VALUE!</v>
      </c>
      <c r="EP65" t="e">
        <f>AND(Birds!CL37,"AAAAAH3/epE=")</f>
        <v>#VALUE!</v>
      </c>
      <c r="EQ65" t="e">
        <f>AND(Birds!CM37,"AAAAAH3/epI=")</f>
        <v>#VALUE!</v>
      </c>
      <c r="ER65" t="e">
        <f>AND(Birds!CN37,"AAAAAH3/epM=")</f>
        <v>#VALUE!</v>
      </c>
      <c r="ES65" t="e">
        <f>AND(Birds!CO37,"AAAAAH3/epQ=")</f>
        <v>#VALUE!</v>
      </c>
      <c r="ET65" t="e">
        <f>AND(Birds!CP37,"AAAAAH3/epU=")</f>
        <v>#VALUE!</v>
      </c>
      <c r="EU65" t="e">
        <f>AND(Birds!CQ37,"AAAAAH3/epY=")</f>
        <v>#VALUE!</v>
      </c>
      <c r="EV65" t="e">
        <f>AND(Birds!CR37,"AAAAAH3/epc=")</f>
        <v>#VALUE!</v>
      </c>
      <c r="EW65" t="e">
        <f>AND(Birds!CS37,"AAAAAH3/epg=")</f>
        <v>#VALUE!</v>
      </c>
      <c r="EX65" t="e">
        <f>AND(Birds!CT37,"AAAAAH3/epk=")</f>
        <v>#VALUE!</v>
      </c>
      <c r="EY65" t="e">
        <f>AND(Birds!CU37,"AAAAAH3/epo=")</f>
        <v>#VALUE!</v>
      </c>
      <c r="EZ65" t="e">
        <f>AND(Birds!CV37,"AAAAAH3/eps=")</f>
        <v>#VALUE!</v>
      </c>
      <c r="FA65" t="e">
        <f>AND(Birds!CW37,"AAAAAH3/epw=")</f>
        <v>#VALUE!</v>
      </c>
      <c r="FB65" t="e">
        <f>AND(Birds!CX37,"AAAAAH3/ep0=")</f>
        <v>#VALUE!</v>
      </c>
      <c r="FC65" t="e">
        <f>AND(Birds!CY37,"AAAAAH3/ep4=")</f>
        <v>#VALUE!</v>
      </c>
      <c r="FD65" t="e">
        <f>AND(Birds!CZ37,"AAAAAH3/ep8=")</f>
        <v>#VALUE!</v>
      </c>
      <c r="FE65" t="e">
        <f>AND(Birds!DA37,"AAAAAH3/eqA=")</f>
        <v>#VALUE!</v>
      </c>
      <c r="FF65" t="e">
        <f>AND(Birds!DB37,"AAAAAH3/eqE=")</f>
        <v>#VALUE!</v>
      </c>
      <c r="FG65" t="e">
        <f>AND(Birds!DC37,"AAAAAH3/eqI=")</f>
        <v>#VALUE!</v>
      </c>
      <c r="FH65" t="e">
        <f>AND(Birds!DD37,"AAAAAH3/eqM=")</f>
        <v>#VALUE!</v>
      </c>
      <c r="FI65" t="e">
        <f>AND(Birds!DE37,"AAAAAH3/eqQ=")</f>
        <v>#VALUE!</v>
      </c>
      <c r="FJ65" t="e">
        <f>AND(Birds!DF37,"AAAAAH3/eqU=")</f>
        <v>#VALUE!</v>
      </c>
      <c r="FK65" t="e">
        <f>AND(Birds!DG37,"AAAAAH3/eqY=")</f>
        <v>#VALUE!</v>
      </c>
      <c r="FL65" t="e">
        <f>AND(Birds!DH37,"AAAAAH3/eqc=")</f>
        <v>#VALUE!</v>
      </c>
      <c r="FM65" t="e">
        <f>AND(Birds!DI37,"AAAAAH3/eqg=")</f>
        <v>#VALUE!</v>
      </c>
      <c r="FN65" t="e">
        <f>AND(Birds!DJ37,"AAAAAH3/eqk=")</f>
        <v>#VALUE!</v>
      </c>
      <c r="FO65" t="e">
        <f>AND(Birds!DK37,"AAAAAH3/eqo=")</f>
        <v>#VALUE!</v>
      </c>
      <c r="FP65" t="e">
        <f>AND(Birds!DL37,"AAAAAH3/eqs=")</f>
        <v>#VALUE!</v>
      </c>
      <c r="FQ65" t="e">
        <f>AND(Birds!DM37,"AAAAAH3/eqw=")</f>
        <v>#VALUE!</v>
      </c>
      <c r="FR65" t="e">
        <f>AND(Birds!DN37,"AAAAAH3/eq0=")</f>
        <v>#VALUE!</v>
      </c>
      <c r="FS65" t="e">
        <f>AND(Birds!DO37,"AAAAAH3/eq4=")</f>
        <v>#VALUE!</v>
      </c>
      <c r="FT65" t="e">
        <f>AND(Birds!DP37,"AAAAAH3/eq8=")</f>
        <v>#VALUE!</v>
      </c>
      <c r="FU65" t="e">
        <f>AND(Birds!DQ37,"AAAAAH3/erA=")</f>
        <v>#VALUE!</v>
      </c>
      <c r="FV65" t="e">
        <f>AND(Birds!DR37,"AAAAAH3/erE=")</f>
        <v>#VALUE!</v>
      </c>
      <c r="FW65" t="e">
        <f>AND(Birds!DS37,"AAAAAH3/erI=")</f>
        <v>#VALUE!</v>
      </c>
      <c r="FX65" t="e">
        <f>AND(Birds!DT37,"AAAAAH3/erM=")</f>
        <v>#VALUE!</v>
      </c>
      <c r="FY65" t="e">
        <f>AND(Birds!DU37,"AAAAAH3/erQ=")</f>
        <v>#VALUE!</v>
      </c>
      <c r="FZ65" t="e">
        <f>AND(Birds!DV37,"AAAAAH3/erU=")</f>
        <v>#VALUE!</v>
      </c>
      <c r="GA65" t="e">
        <f>AND(Birds!DW37,"AAAAAH3/erY=")</f>
        <v>#VALUE!</v>
      </c>
      <c r="GB65" t="e">
        <f>AND(Birds!DX37,"AAAAAH3/erc=")</f>
        <v>#VALUE!</v>
      </c>
      <c r="GC65" t="e">
        <f>AND(Birds!DY37,"AAAAAH3/erg=")</f>
        <v>#VALUE!</v>
      </c>
      <c r="GD65" t="e">
        <f>AND(Birds!DZ37,"AAAAAH3/erk=")</f>
        <v>#VALUE!</v>
      </c>
      <c r="GE65" t="e">
        <f>AND(Birds!EA37,"AAAAAH3/ero=")</f>
        <v>#VALUE!</v>
      </c>
      <c r="GF65" t="e">
        <f>AND(Birds!EB37,"AAAAAH3/ers=")</f>
        <v>#VALUE!</v>
      </c>
      <c r="GG65" t="e">
        <f>AND(Birds!EC37,"AAAAAH3/erw=")</f>
        <v>#VALUE!</v>
      </c>
      <c r="GH65" t="e">
        <f>AND(Birds!ED37,"AAAAAH3/er0=")</f>
        <v>#VALUE!</v>
      </c>
      <c r="GI65" t="e">
        <f>AND(Birds!EE37,"AAAAAH3/er4=")</f>
        <v>#VALUE!</v>
      </c>
      <c r="GJ65" t="e">
        <f>AND(Birds!EF37,"AAAAAH3/er8=")</f>
        <v>#VALUE!</v>
      </c>
      <c r="GK65" t="e">
        <f>AND(Birds!EG37,"AAAAAH3/esA=")</f>
        <v>#VALUE!</v>
      </c>
      <c r="GL65" t="e">
        <f>AND(Birds!EH37,"AAAAAH3/esE=")</f>
        <v>#VALUE!</v>
      </c>
      <c r="GM65" t="e">
        <f>AND(Birds!EI37,"AAAAAH3/esI=")</f>
        <v>#VALUE!</v>
      </c>
      <c r="GN65" t="e">
        <f>AND(Birds!EJ37,"AAAAAH3/esM=")</f>
        <v>#VALUE!</v>
      </c>
      <c r="GO65" t="e">
        <f>AND(Birds!EK37,"AAAAAH3/esQ=")</f>
        <v>#VALUE!</v>
      </c>
      <c r="GP65" t="e">
        <f>AND(Birds!EL37,"AAAAAH3/esU=")</f>
        <v>#VALUE!</v>
      </c>
      <c r="GQ65" t="e">
        <f>AND(Birds!EM37,"AAAAAH3/esY=")</f>
        <v>#VALUE!</v>
      </c>
      <c r="GR65" t="e">
        <f>AND(Birds!EN37,"AAAAAH3/esc=")</f>
        <v>#VALUE!</v>
      </c>
      <c r="GS65" t="e">
        <f>AND(Birds!EO37,"AAAAAH3/esg=")</f>
        <v>#VALUE!</v>
      </c>
      <c r="GT65" t="e">
        <f>AND(Birds!EP37,"AAAAAH3/esk=")</f>
        <v>#VALUE!</v>
      </c>
      <c r="GU65" t="e">
        <f>AND(Birds!EQ37,"AAAAAH3/eso=")</f>
        <v>#VALUE!</v>
      </c>
      <c r="GV65" t="e">
        <f>AND(Birds!ER37,"AAAAAH3/ess=")</f>
        <v>#VALUE!</v>
      </c>
      <c r="GW65" t="e">
        <f>AND(Birds!ES37,"AAAAAH3/esw=")</f>
        <v>#VALUE!</v>
      </c>
      <c r="GX65" t="e">
        <f>AND(Birds!ET37,"AAAAAH3/es0=")</f>
        <v>#VALUE!</v>
      </c>
      <c r="GY65" t="e">
        <f>AND(Birds!EU37,"AAAAAH3/es4=")</f>
        <v>#VALUE!</v>
      </c>
      <c r="GZ65" t="e">
        <f>AND(Birds!EV37,"AAAAAH3/es8=")</f>
        <v>#VALUE!</v>
      </c>
      <c r="HA65" t="e">
        <f>AND(Birds!EW37,"AAAAAH3/etA=")</f>
        <v>#VALUE!</v>
      </c>
      <c r="HB65" t="e">
        <f>AND(Birds!EX37,"AAAAAH3/etE=")</f>
        <v>#VALUE!</v>
      </c>
      <c r="HC65" t="e">
        <f>AND(Birds!EY37,"AAAAAH3/etI=")</f>
        <v>#VALUE!</v>
      </c>
      <c r="HD65" t="e">
        <f>AND(Birds!EZ37,"AAAAAH3/etM=")</f>
        <v>#VALUE!</v>
      </c>
      <c r="HE65" t="e">
        <f>AND(Birds!FA37,"AAAAAH3/etQ=")</f>
        <v>#VALUE!</v>
      </c>
      <c r="HF65" t="e">
        <f>AND(Birds!FB37,"AAAAAH3/etU=")</f>
        <v>#VALUE!</v>
      </c>
      <c r="HG65" t="e">
        <f>AND(Birds!FC37,"AAAAAH3/etY=")</f>
        <v>#VALUE!</v>
      </c>
      <c r="HH65" t="e">
        <f>AND(Birds!FD37,"AAAAAH3/etc=")</f>
        <v>#VALUE!</v>
      </c>
      <c r="HI65" t="e">
        <f>AND(Birds!FE37,"AAAAAH3/etg=")</f>
        <v>#VALUE!</v>
      </c>
      <c r="HJ65" t="e">
        <f>AND(Birds!FF37,"AAAAAH3/etk=")</f>
        <v>#VALUE!</v>
      </c>
      <c r="HK65" t="e">
        <f>AND(Birds!FG37,"AAAAAH3/eto=")</f>
        <v>#VALUE!</v>
      </c>
      <c r="HL65" t="e">
        <f>AND(Birds!FH37,"AAAAAH3/ets=")</f>
        <v>#VALUE!</v>
      </c>
      <c r="HM65" t="e">
        <f>AND(Birds!FI37,"AAAAAH3/etw=")</f>
        <v>#VALUE!</v>
      </c>
      <c r="HN65" t="e">
        <f>AND(Birds!FJ37,"AAAAAH3/et0=")</f>
        <v>#VALUE!</v>
      </c>
      <c r="HO65" t="e">
        <f>AND(Birds!FK37,"AAAAAH3/et4=")</f>
        <v>#VALUE!</v>
      </c>
      <c r="HP65" t="e">
        <f>AND(Birds!FL37,"AAAAAH3/et8=")</f>
        <v>#VALUE!</v>
      </c>
      <c r="HQ65" t="e">
        <f>AND(Birds!FM37,"AAAAAH3/euA=")</f>
        <v>#VALUE!</v>
      </c>
      <c r="HR65" t="e">
        <f>AND(Birds!FN37,"AAAAAH3/euE=")</f>
        <v>#VALUE!</v>
      </c>
      <c r="HS65" t="e">
        <f>AND(Birds!FO37,"AAAAAH3/euI=")</f>
        <v>#VALUE!</v>
      </c>
      <c r="HT65" t="e">
        <f>AND(Birds!FP37,"AAAAAH3/euM=")</f>
        <v>#VALUE!</v>
      </c>
      <c r="HU65" t="e">
        <f>AND(Birds!FQ37,"AAAAAH3/euQ=")</f>
        <v>#VALUE!</v>
      </c>
      <c r="HV65" t="e">
        <f>AND(Birds!FR37,"AAAAAH3/euU=")</f>
        <v>#VALUE!</v>
      </c>
      <c r="HW65" t="e">
        <f>AND(Birds!FS37,"AAAAAH3/euY=")</f>
        <v>#VALUE!</v>
      </c>
      <c r="HX65" t="e">
        <f>AND(Birds!FT37,"AAAAAH3/euc=")</f>
        <v>#VALUE!</v>
      </c>
      <c r="HY65" t="e">
        <f>AND(Birds!FU37,"AAAAAH3/eug=")</f>
        <v>#VALUE!</v>
      </c>
      <c r="HZ65" t="e">
        <f>AND(Birds!FV37,"AAAAAH3/euk=")</f>
        <v>#VALUE!</v>
      </c>
      <c r="IA65" t="e">
        <f>AND(Birds!FW37,"AAAAAH3/euo=")</f>
        <v>#VALUE!</v>
      </c>
      <c r="IB65" t="e">
        <f>AND(Birds!FX37,"AAAAAH3/eus=")</f>
        <v>#VALUE!</v>
      </c>
      <c r="IC65" t="e">
        <f>AND(Birds!FY37,"AAAAAH3/euw=")</f>
        <v>#VALUE!</v>
      </c>
      <c r="ID65" t="e">
        <f>AND(Birds!FZ37,"AAAAAH3/eu0=")</f>
        <v>#VALUE!</v>
      </c>
      <c r="IE65" t="e">
        <f>AND(Birds!GA37,"AAAAAH3/eu4=")</f>
        <v>#VALUE!</v>
      </c>
      <c r="IF65" t="e">
        <f>AND(Birds!GB37,"AAAAAH3/eu8=")</f>
        <v>#VALUE!</v>
      </c>
      <c r="IG65" t="e">
        <f>AND(Birds!GC37,"AAAAAH3/evA=")</f>
        <v>#VALUE!</v>
      </c>
      <c r="IH65" t="e">
        <f>AND(Birds!GD37,"AAAAAH3/evE=")</f>
        <v>#VALUE!</v>
      </c>
      <c r="II65" t="e">
        <f>AND(Birds!GE37,"AAAAAH3/evI=")</f>
        <v>#VALUE!</v>
      </c>
      <c r="IJ65" t="e">
        <f>AND(Birds!GF37,"AAAAAH3/evM=")</f>
        <v>#VALUE!</v>
      </c>
      <c r="IK65" t="e">
        <f>AND(Birds!GG37,"AAAAAH3/evQ=")</f>
        <v>#VALUE!</v>
      </c>
      <c r="IL65" t="e">
        <f>AND(Birds!GH37,"AAAAAH3/evU=")</f>
        <v>#VALUE!</v>
      </c>
      <c r="IM65" t="e">
        <f>AND(Birds!GI37,"AAAAAH3/evY=")</f>
        <v>#VALUE!</v>
      </c>
      <c r="IN65" t="e">
        <f>AND(Birds!GJ37,"AAAAAH3/evc=")</f>
        <v>#VALUE!</v>
      </c>
      <c r="IO65" t="e">
        <f>AND(Birds!GK37,"AAAAAH3/evg=")</f>
        <v>#VALUE!</v>
      </c>
      <c r="IP65" t="e">
        <f>AND(Birds!GL37,"AAAAAH3/evk=")</f>
        <v>#VALUE!</v>
      </c>
      <c r="IQ65" t="e">
        <f>AND(Birds!GM37,"AAAAAH3/evo=")</f>
        <v>#VALUE!</v>
      </c>
      <c r="IR65">
        <f>IF(Birds!38:38,"AAAAAH3/evs=",0)</f>
        <v>0</v>
      </c>
      <c r="IS65" t="e">
        <f>AND(Birds!A38,"AAAAAH3/evw=")</f>
        <v>#VALUE!</v>
      </c>
      <c r="IT65" t="e">
        <f>AND(Birds!B38,"AAAAAH3/ev0=")</f>
        <v>#VALUE!</v>
      </c>
      <c r="IU65" t="e">
        <f>AND(Birds!C38,"AAAAAH3/ev4=")</f>
        <v>#VALUE!</v>
      </c>
      <c r="IV65" t="e">
        <f>AND(Birds!D38,"AAAAAH3/ev8=")</f>
        <v>#VALUE!</v>
      </c>
    </row>
    <row r="66" spans="1:256">
      <c r="A66" t="e">
        <f>AND(Birds!E38,"AAAAAC/vZwA=")</f>
        <v>#VALUE!</v>
      </c>
      <c r="B66" t="e">
        <f>AND(Birds!F38,"AAAAAC/vZwE=")</f>
        <v>#VALUE!</v>
      </c>
      <c r="C66" t="e">
        <f>AND(Birds!G38,"AAAAAC/vZwI=")</f>
        <v>#VALUE!</v>
      </c>
      <c r="D66" t="e">
        <f>AND(Birds!H38,"AAAAAC/vZwM=")</f>
        <v>#VALUE!</v>
      </c>
      <c r="E66" t="e">
        <f>AND(Birds!I38,"AAAAAC/vZwQ=")</f>
        <v>#VALUE!</v>
      </c>
      <c r="F66" t="e">
        <f>AND(Birds!J38,"AAAAAC/vZwU=")</f>
        <v>#VALUE!</v>
      </c>
      <c r="G66" t="e">
        <f>AND(Birds!K38,"AAAAAC/vZwY=")</f>
        <v>#VALUE!</v>
      </c>
      <c r="H66" t="e">
        <f>AND(Birds!L38,"AAAAAC/vZwc=")</f>
        <v>#VALUE!</v>
      </c>
      <c r="I66" t="e">
        <f>AND(Birds!M38,"AAAAAC/vZwg=")</f>
        <v>#VALUE!</v>
      </c>
      <c r="J66" t="e">
        <f>AND(Birds!N38,"AAAAAC/vZwk=")</f>
        <v>#VALUE!</v>
      </c>
      <c r="K66" t="e">
        <f>AND(Birds!O38,"AAAAAC/vZwo=")</f>
        <v>#VALUE!</v>
      </c>
      <c r="L66" t="e">
        <f>AND(Birds!P38,"AAAAAC/vZws=")</f>
        <v>#VALUE!</v>
      </c>
      <c r="M66" t="e">
        <f>AND(Birds!Q38,"AAAAAC/vZww=")</f>
        <v>#VALUE!</v>
      </c>
      <c r="N66" t="e">
        <f>AND(Birds!R38,"AAAAAC/vZw0=")</f>
        <v>#VALUE!</v>
      </c>
      <c r="O66" t="e">
        <f>AND(Birds!S38,"AAAAAC/vZw4=")</f>
        <v>#VALUE!</v>
      </c>
      <c r="P66" t="e">
        <f>AND(Birds!T38,"AAAAAC/vZw8=")</f>
        <v>#VALUE!</v>
      </c>
      <c r="Q66" t="e">
        <f>AND(Birds!U38,"AAAAAC/vZxA=")</f>
        <v>#VALUE!</v>
      </c>
      <c r="R66" t="e">
        <f>AND(Birds!V38,"AAAAAC/vZxE=")</f>
        <v>#VALUE!</v>
      </c>
      <c r="S66" t="e">
        <f>AND(Birds!W38,"AAAAAC/vZxI=")</f>
        <v>#VALUE!</v>
      </c>
      <c r="T66" t="e">
        <f>AND(Birds!X38,"AAAAAC/vZxM=")</f>
        <v>#VALUE!</v>
      </c>
      <c r="U66" t="e">
        <f>AND(Birds!Y38,"AAAAAC/vZxQ=")</f>
        <v>#VALUE!</v>
      </c>
      <c r="V66" t="e">
        <f>AND(Birds!Z38,"AAAAAC/vZxU=")</f>
        <v>#VALUE!</v>
      </c>
      <c r="W66" t="e">
        <f>AND(Birds!AA38,"AAAAAC/vZxY=")</f>
        <v>#VALUE!</v>
      </c>
      <c r="X66" t="e">
        <f>AND(Birds!AB38,"AAAAAC/vZxc=")</f>
        <v>#VALUE!</v>
      </c>
      <c r="Y66" t="e">
        <f>AND(Birds!AC38,"AAAAAC/vZxg=")</f>
        <v>#VALUE!</v>
      </c>
      <c r="Z66" t="e">
        <f>AND(Birds!AD38,"AAAAAC/vZxk=")</f>
        <v>#VALUE!</v>
      </c>
      <c r="AA66" t="e">
        <f>AND(Birds!AE38,"AAAAAC/vZxo=")</f>
        <v>#VALUE!</v>
      </c>
      <c r="AB66" t="e">
        <f>AND(Birds!AF38,"AAAAAC/vZxs=")</f>
        <v>#VALUE!</v>
      </c>
      <c r="AC66" t="e">
        <f>AND(Birds!AG38,"AAAAAC/vZxw=")</f>
        <v>#VALUE!</v>
      </c>
      <c r="AD66" t="e">
        <f>AND(Birds!AH38,"AAAAAC/vZx0=")</f>
        <v>#VALUE!</v>
      </c>
      <c r="AE66" t="e">
        <f>AND(Birds!AI38,"AAAAAC/vZx4=")</f>
        <v>#VALUE!</v>
      </c>
      <c r="AF66" t="e">
        <f>AND(Birds!AJ38,"AAAAAC/vZx8=")</f>
        <v>#VALUE!</v>
      </c>
      <c r="AG66" t="e">
        <f>AND(Birds!AK38,"AAAAAC/vZyA=")</f>
        <v>#VALUE!</v>
      </c>
      <c r="AH66" t="e">
        <f>AND(Birds!AL38,"AAAAAC/vZyE=")</f>
        <v>#VALUE!</v>
      </c>
      <c r="AI66" t="e">
        <f>AND(Birds!AM38,"AAAAAC/vZyI=")</f>
        <v>#VALUE!</v>
      </c>
      <c r="AJ66" t="e">
        <f>AND(Birds!AN38,"AAAAAC/vZyM=")</f>
        <v>#VALUE!</v>
      </c>
      <c r="AK66" t="e">
        <f>AND(Birds!AO38,"AAAAAC/vZyQ=")</f>
        <v>#VALUE!</v>
      </c>
      <c r="AL66" t="e">
        <f>AND(Birds!AP38,"AAAAAC/vZyU=")</f>
        <v>#VALUE!</v>
      </c>
      <c r="AM66" t="e">
        <f>AND(Birds!AQ38,"AAAAAC/vZyY=")</f>
        <v>#VALUE!</v>
      </c>
      <c r="AN66" t="e">
        <f>AND(Birds!AR38,"AAAAAC/vZyc=")</f>
        <v>#VALUE!</v>
      </c>
      <c r="AO66" t="e">
        <f>AND(Birds!AS38,"AAAAAC/vZyg=")</f>
        <v>#VALUE!</v>
      </c>
      <c r="AP66" t="e">
        <f>AND(Birds!AT38,"AAAAAC/vZyk=")</f>
        <v>#VALUE!</v>
      </c>
      <c r="AQ66" t="e">
        <f>AND(Birds!AU38,"AAAAAC/vZyo=")</f>
        <v>#VALUE!</v>
      </c>
      <c r="AR66" t="e">
        <f>AND(Birds!AV38,"AAAAAC/vZys=")</f>
        <v>#VALUE!</v>
      </c>
      <c r="AS66" t="e">
        <f>AND(Birds!AW38,"AAAAAC/vZyw=")</f>
        <v>#VALUE!</v>
      </c>
      <c r="AT66" t="e">
        <f>AND(Birds!AX38,"AAAAAC/vZy0=")</f>
        <v>#VALUE!</v>
      </c>
      <c r="AU66" t="e">
        <f>AND(Birds!AY38,"AAAAAC/vZy4=")</f>
        <v>#VALUE!</v>
      </c>
      <c r="AV66" t="e">
        <f>AND(Birds!AZ38,"AAAAAC/vZy8=")</f>
        <v>#VALUE!</v>
      </c>
      <c r="AW66" t="e">
        <f>AND(Birds!BA38,"AAAAAC/vZzA=")</f>
        <v>#VALUE!</v>
      </c>
      <c r="AX66" t="e">
        <f>AND(Birds!BB38,"AAAAAC/vZzE=")</f>
        <v>#VALUE!</v>
      </c>
      <c r="AY66" t="e">
        <f>AND(Birds!BC38,"AAAAAC/vZzI=")</f>
        <v>#VALUE!</v>
      </c>
      <c r="AZ66" t="e">
        <f>AND(Birds!BD38,"AAAAAC/vZzM=")</f>
        <v>#VALUE!</v>
      </c>
      <c r="BA66" t="e">
        <f>AND(Birds!BE38,"AAAAAC/vZzQ=")</f>
        <v>#VALUE!</v>
      </c>
      <c r="BB66" t="e">
        <f>AND(Birds!BF38,"AAAAAC/vZzU=")</f>
        <v>#VALUE!</v>
      </c>
      <c r="BC66" t="e">
        <f>AND(Birds!BG38,"AAAAAC/vZzY=")</f>
        <v>#VALUE!</v>
      </c>
      <c r="BD66" t="e">
        <f>AND(Birds!BH38,"AAAAAC/vZzc=")</f>
        <v>#VALUE!</v>
      </c>
      <c r="BE66" t="e">
        <f>AND(Birds!BI38,"AAAAAC/vZzg=")</f>
        <v>#VALUE!</v>
      </c>
      <c r="BF66" t="e">
        <f>AND(Birds!BJ38,"AAAAAC/vZzk=")</f>
        <v>#VALUE!</v>
      </c>
      <c r="BG66" t="e">
        <f>AND(Birds!BK38,"AAAAAC/vZzo=")</f>
        <v>#VALUE!</v>
      </c>
      <c r="BH66" t="e">
        <f>AND(Birds!BL38,"AAAAAC/vZzs=")</f>
        <v>#VALUE!</v>
      </c>
      <c r="BI66" t="e">
        <f>AND(Birds!BM38,"AAAAAC/vZzw=")</f>
        <v>#VALUE!</v>
      </c>
      <c r="BJ66" t="e">
        <f>AND(Birds!BN38,"AAAAAC/vZz0=")</f>
        <v>#VALUE!</v>
      </c>
      <c r="BK66" t="e">
        <f>AND(Birds!BO38,"AAAAAC/vZz4=")</f>
        <v>#VALUE!</v>
      </c>
      <c r="BL66" t="e">
        <f>AND(Birds!BP38,"AAAAAC/vZz8=")</f>
        <v>#VALUE!</v>
      </c>
      <c r="BM66" t="e">
        <f>AND(Birds!BQ38,"AAAAAC/vZ0A=")</f>
        <v>#VALUE!</v>
      </c>
      <c r="BN66" t="e">
        <f>AND(Birds!BR38,"AAAAAC/vZ0E=")</f>
        <v>#VALUE!</v>
      </c>
      <c r="BO66" t="e">
        <f>AND(Birds!BS38,"AAAAAC/vZ0I=")</f>
        <v>#VALUE!</v>
      </c>
      <c r="BP66" t="e">
        <f>AND(Birds!BT38,"AAAAAC/vZ0M=")</f>
        <v>#VALUE!</v>
      </c>
      <c r="BQ66" t="e">
        <f>AND(Birds!BU38,"AAAAAC/vZ0Q=")</f>
        <v>#VALUE!</v>
      </c>
      <c r="BR66" t="e">
        <f>AND(Birds!BV38,"AAAAAC/vZ0U=")</f>
        <v>#VALUE!</v>
      </c>
      <c r="BS66" t="e">
        <f>AND(Birds!BW38,"AAAAAC/vZ0Y=")</f>
        <v>#VALUE!</v>
      </c>
      <c r="BT66" t="e">
        <f>AND(Birds!BX38,"AAAAAC/vZ0c=")</f>
        <v>#VALUE!</v>
      </c>
      <c r="BU66" t="e">
        <f>AND(Birds!BY38,"AAAAAC/vZ0g=")</f>
        <v>#VALUE!</v>
      </c>
      <c r="BV66" t="e">
        <f>AND(Birds!BZ38,"AAAAAC/vZ0k=")</f>
        <v>#VALUE!</v>
      </c>
      <c r="BW66" t="e">
        <f>AND(Birds!CA38,"AAAAAC/vZ0o=")</f>
        <v>#VALUE!</v>
      </c>
      <c r="BX66" t="e">
        <f>AND(Birds!CB38,"AAAAAC/vZ0s=")</f>
        <v>#VALUE!</v>
      </c>
      <c r="BY66" t="e">
        <f>AND(Birds!CC38,"AAAAAC/vZ0w=")</f>
        <v>#VALUE!</v>
      </c>
      <c r="BZ66" t="e">
        <f>AND(Birds!CD38,"AAAAAC/vZ00=")</f>
        <v>#VALUE!</v>
      </c>
      <c r="CA66" t="e">
        <f>AND(Birds!CE38,"AAAAAC/vZ04=")</f>
        <v>#VALUE!</v>
      </c>
      <c r="CB66" t="e">
        <f>AND(Birds!CF38,"AAAAAC/vZ08=")</f>
        <v>#VALUE!</v>
      </c>
      <c r="CC66" t="e">
        <f>AND(Birds!CG38,"AAAAAC/vZ1A=")</f>
        <v>#VALUE!</v>
      </c>
      <c r="CD66" t="e">
        <f>AND(Birds!CH38,"AAAAAC/vZ1E=")</f>
        <v>#VALUE!</v>
      </c>
      <c r="CE66" t="e">
        <f>AND(Birds!CI38,"AAAAAC/vZ1I=")</f>
        <v>#VALUE!</v>
      </c>
      <c r="CF66" t="e">
        <f>AND(Birds!CJ38,"AAAAAC/vZ1M=")</f>
        <v>#VALUE!</v>
      </c>
      <c r="CG66" t="e">
        <f>AND(Birds!CK38,"AAAAAC/vZ1Q=")</f>
        <v>#VALUE!</v>
      </c>
      <c r="CH66" t="e">
        <f>AND(Birds!CL38,"AAAAAC/vZ1U=")</f>
        <v>#VALUE!</v>
      </c>
      <c r="CI66" t="e">
        <f>AND(Birds!CM38,"AAAAAC/vZ1Y=")</f>
        <v>#VALUE!</v>
      </c>
      <c r="CJ66" t="e">
        <f>AND(Birds!CN38,"AAAAAC/vZ1c=")</f>
        <v>#VALUE!</v>
      </c>
      <c r="CK66" t="e">
        <f>AND(Birds!CO38,"AAAAAC/vZ1g=")</f>
        <v>#VALUE!</v>
      </c>
      <c r="CL66" t="e">
        <f>AND(Birds!CP38,"AAAAAC/vZ1k=")</f>
        <v>#VALUE!</v>
      </c>
      <c r="CM66" t="e">
        <f>AND(Birds!CQ38,"AAAAAC/vZ1o=")</f>
        <v>#VALUE!</v>
      </c>
      <c r="CN66" t="e">
        <f>AND(Birds!CR38,"AAAAAC/vZ1s=")</f>
        <v>#VALUE!</v>
      </c>
      <c r="CO66" t="e">
        <f>AND(Birds!CS38,"AAAAAC/vZ1w=")</f>
        <v>#VALUE!</v>
      </c>
      <c r="CP66" t="e">
        <f>AND(Birds!CT38,"AAAAAC/vZ10=")</f>
        <v>#VALUE!</v>
      </c>
      <c r="CQ66" t="e">
        <f>AND(Birds!CU38,"AAAAAC/vZ14=")</f>
        <v>#VALUE!</v>
      </c>
      <c r="CR66" t="e">
        <f>AND(Birds!CV38,"AAAAAC/vZ18=")</f>
        <v>#VALUE!</v>
      </c>
      <c r="CS66" t="e">
        <f>AND(Birds!CW38,"AAAAAC/vZ2A=")</f>
        <v>#VALUE!</v>
      </c>
      <c r="CT66" t="e">
        <f>AND(Birds!CX38,"AAAAAC/vZ2E=")</f>
        <v>#VALUE!</v>
      </c>
      <c r="CU66" t="e">
        <f>AND(Birds!CY38,"AAAAAC/vZ2I=")</f>
        <v>#VALUE!</v>
      </c>
      <c r="CV66" t="e">
        <f>AND(Birds!CZ38,"AAAAAC/vZ2M=")</f>
        <v>#VALUE!</v>
      </c>
      <c r="CW66" t="e">
        <f>AND(Birds!DA38,"AAAAAC/vZ2Q=")</f>
        <v>#VALUE!</v>
      </c>
      <c r="CX66" t="e">
        <f>AND(Birds!DB38,"AAAAAC/vZ2U=")</f>
        <v>#VALUE!</v>
      </c>
      <c r="CY66" t="e">
        <f>AND(Birds!DC38,"AAAAAC/vZ2Y=")</f>
        <v>#VALUE!</v>
      </c>
      <c r="CZ66" t="e">
        <f>AND(Birds!DD38,"AAAAAC/vZ2c=")</f>
        <v>#VALUE!</v>
      </c>
      <c r="DA66" t="e">
        <f>AND(Birds!DE38,"AAAAAC/vZ2g=")</f>
        <v>#VALUE!</v>
      </c>
      <c r="DB66" t="e">
        <f>AND(Birds!DF38,"AAAAAC/vZ2k=")</f>
        <v>#VALUE!</v>
      </c>
      <c r="DC66" t="e">
        <f>AND(Birds!DG38,"AAAAAC/vZ2o=")</f>
        <v>#VALUE!</v>
      </c>
      <c r="DD66" t="e">
        <f>AND(Birds!DH38,"AAAAAC/vZ2s=")</f>
        <v>#VALUE!</v>
      </c>
      <c r="DE66" t="e">
        <f>AND(Birds!DI38,"AAAAAC/vZ2w=")</f>
        <v>#VALUE!</v>
      </c>
      <c r="DF66" t="e">
        <f>AND(Birds!DJ38,"AAAAAC/vZ20=")</f>
        <v>#VALUE!</v>
      </c>
      <c r="DG66" t="e">
        <f>AND(Birds!DK38,"AAAAAC/vZ24=")</f>
        <v>#VALUE!</v>
      </c>
      <c r="DH66" t="e">
        <f>AND(Birds!DL38,"AAAAAC/vZ28=")</f>
        <v>#VALUE!</v>
      </c>
      <c r="DI66" t="e">
        <f>AND(Birds!DM38,"AAAAAC/vZ3A=")</f>
        <v>#VALUE!</v>
      </c>
      <c r="DJ66" t="e">
        <f>AND(Birds!DN38,"AAAAAC/vZ3E=")</f>
        <v>#VALUE!</v>
      </c>
      <c r="DK66" t="e">
        <f>AND(Birds!DO38,"AAAAAC/vZ3I=")</f>
        <v>#VALUE!</v>
      </c>
      <c r="DL66" t="e">
        <f>AND(Birds!DP38,"AAAAAC/vZ3M=")</f>
        <v>#VALUE!</v>
      </c>
      <c r="DM66" t="e">
        <f>AND(Birds!DQ38,"AAAAAC/vZ3Q=")</f>
        <v>#VALUE!</v>
      </c>
      <c r="DN66" t="e">
        <f>AND(Birds!DR38,"AAAAAC/vZ3U=")</f>
        <v>#VALUE!</v>
      </c>
      <c r="DO66" t="e">
        <f>AND(Birds!DS38,"AAAAAC/vZ3Y=")</f>
        <v>#VALUE!</v>
      </c>
      <c r="DP66" t="e">
        <f>AND(Birds!DT38,"AAAAAC/vZ3c=")</f>
        <v>#VALUE!</v>
      </c>
      <c r="DQ66" t="e">
        <f>AND(Birds!DU38,"AAAAAC/vZ3g=")</f>
        <v>#VALUE!</v>
      </c>
      <c r="DR66" t="e">
        <f>AND(Birds!DV38,"AAAAAC/vZ3k=")</f>
        <v>#VALUE!</v>
      </c>
      <c r="DS66" t="e">
        <f>AND(Birds!DW38,"AAAAAC/vZ3o=")</f>
        <v>#VALUE!</v>
      </c>
      <c r="DT66" t="e">
        <f>AND(Birds!DX38,"AAAAAC/vZ3s=")</f>
        <v>#VALUE!</v>
      </c>
      <c r="DU66" t="e">
        <f>AND(Birds!DY38,"AAAAAC/vZ3w=")</f>
        <v>#VALUE!</v>
      </c>
      <c r="DV66" t="e">
        <f>AND(Birds!DZ38,"AAAAAC/vZ30=")</f>
        <v>#VALUE!</v>
      </c>
      <c r="DW66" t="e">
        <f>AND(Birds!EA38,"AAAAAC/vZ34=")</f>
        <v>#VALUE!</v>
      </c>
      <c r="DX66" t="e">
        <f>AND(Birds!EB38,"AAAAAC/vZ38=")</f>
        <v>#VALUE!</v>
      </c>
      <c r="DY66" t="e">
        <f>AND(Birds!EC38,"AAAAAC/vZ4A=")</f>
        <v>#VALUE!</v>
      </c>
      <c r="DZ66" t="e">
        <f>AND(Birds!ED38,"AAAAAC/vZ4E=")</f>
        <v>#VALUE!</v>
      </c>
      <c r="EA66" t="e">
        <f>AND(Birds!EE38,"AAAAAC/vZ4I=")</f>
        <v>#VALUE!</v>
      </c>
      <c r="EB66" t="e">
        <f>AND(Birds!EF38,"AAAAAC/vZ4M=")</f>
        <v>#VALUE!</v>
      </c>
      <c r="EC66" t="e">
        <f>AND(Birds!EG38,"AAAAAC/vZ4Q=")</f>
        <v>#VALUE!</v>
      </c>
      <c r="ED66" t="e">
        <f>AND(Birds!EH38,"AAAAAC/vZ4U=")</f>
        <v>#VALUE!</v>
      </c>
      <c r="EE66" t="e">
        <f>AND(Birds!EI38,"AAAAAC/vZ4Y=")</f>
        <v>#VALUE!</v>
      </c>
      <c r="EF66" t="e">
        <f>AND(Birds!EJ38,"AAAAAC/vZ4c=")</f>
        <v>#VALUE!</v>
      </c>
      <c r="EG66" t="e">
        <f>AND(Birds!EK38,"AAAAAC/vZ4g=")</f>
        <v>#VALUE!</v>
      </c>
      <c r="EH66" t="e">
        <f>AND(Birds!EL38,"AAAAAC/vZ4k=")</f>
        <v>#VALUE!</v>
      </c>
      <c r="EI66" t="e">
        <f>AND(Birds!EM38,"AAAAAC/vZ4o=")</f>
        <v>#VALUE!</v>
      </c>
      <c r="EJ66" t="e">
        <f>AND(Birds!EN38,"AAAAAC/vZ4s=")</f>
        <v>#VALUE!</v>
      </c>
      <c r="EK66" t="e">
        <f>AND(Birds!EO38,"AAAAAC/vZ4w=")</f>
        <v>#VALUE!</v>
      </c>
      <c r="EL66" t="e">
        <f>AND(Birds!EP38,"AAAAAC/vZ40=")</f>
        <v>#VALUE!</v>
      </c>
      <c r="EM66" t="e">
        <f>AND(Birds!EQ38,"AAAAAC/vZ44=")</f>
        <v>#VALUE!</v>
      </c>
      <c r="EN66" t="e">
        <f>AND(Birds!ER38,"AAAAAC/vZ48=")</f>
        <v>#VALUE!</v>
      </c>
      <c r="EO66" t="e">
        <f>AND(Birds!ES38,"AAAAAC/vZ5A=")</f>
        <v>#VALUE!</v>
      </c>
      <c r="EP66" t="e">
        <f>AND(Birds!ET38,"AAAAAC/vZ5E=")</f>
        <v>#VALUE!</v>
      </c>
      <c r="EQ66" t="e">
        <f>AND(Birds!EU38,"AAAAAC/vZ5I=")</f>
        <v>#VALUE!</v>
      </c>
      <c r="ER66" t="e">
        <f>AND(Birds!EV38,"AAAAAC/vZ5M=")</f>
        <v>#VALUE!</v>
      </c>
      <c r="ES66" t="e">
        <f>AND(Birds!EW38,"AAAAAC/vZ5Q=")</f>
        <v>#VALUE!</v>
      </c>
      <c r="ET66" t="e">
        <f>AND(Birds!EX38,"AAAAAC/vZ5U=")</f>
        <v>#VALUE!</v>
      </c>
      <c r="EU66" t="e">
        <f>AND(Birds!EY38,"AAAAAC/vZ5Y=")</f>
        <v>#VALUE!</v>
      </c>
      <c r="EV66" t="e">
        <f>AND(Birds!EZ38,"AAAAAC/vZ5c=")</f>
        <v>#VALUE!</v>
      </c>
      <c r="EW66" t="e">
        <f>AND(Birds!FA38,"AAAAAC/vZ5g=")</f>
        <v>#VALUE!</v>
      </c>
      <c r="EX66" t="e">
        <f>AND(Birds!FB38,"AAAAAC/vZ5k=")</f>
        <v>#VALUE!</v>
      </c>
      <c r="EY66" t="e">
        <f>AND(Birds!FC38,"AAAAAC/vZ5o=")</f>
        <v>#VALUE!</v>
      </c>
      <c r="EZ66" t="e">
        <f>AND(Birds!FD38,"AAAAAC/vZ5s=")</f>
        <v>#VALUE!</v>
      </c>
      <c r="FA66" t="e">
        <f>AND(Birds!FE38,"AAAAAC/vZ5w=")</f>
        <v>#VALUE!</v>
      </c>
      <c r="FB66" t="e">
        <f>AND(Birds!FF38,"AAAAAC/vZ50=")</f>
        <v>#VALUE!</v>
      </c>
      <c r="FC66" t="e">
        <f>AND(Birds!FG38,"AAAAAC/vZ54=")</f>
        <v>#VALUE!</v>
      </c>
      <c r="FD66" t="e">
        <f>AND(Birds!FH38,"AAAAAC/vZ58=")</f>
        <v>#VALUE!</v>
      </c>
      <c r="FE66" t="e">
        <f>AND(Birds!FI38,"AAAAAC/vZ6A=")</f>
        <v>#VALUE!</v>
      </c>
      <c r="FF66" t="e">
        <f>AND(Birds!FJ38,"AAAAAC/vZ6E=")</f>
        <v>#VALUE!</v>
      </c>
      <c r="FG66" t="e">
        <f>AND(Birds!FK38,"AAAAAC/vZ6I=")</f>
        <v>#VALUE!</v>
      </c>
      <c r="FH66" t="e">
        <f>AND(Birds!FL38,"AAAAAC/vZ6M=")</f>
        <v>#VALUE!</v>
      </c>
      <c r="FI66" t="e">
        <f>AND(Birds!FM38,"AAAAAC/vZ6Q=")</f>
        <v>#VALUE!</v>
      </c>
      <c r="FJ66" t="e">
        <f>AND(Birds!FN38,"AAAAAC/vZ6U=")</f>
        <v>#VALUE!</v>
      </c>
      <c r="FK66" t="e">
        <f>AND(Birds!FO38,"AAAAAC/vZ6Y=")</f>
        <v>#VALUE!</v>
      </c>
      <c r="FL66" t="e">
        <f>AND(Birds!FP38,"AAAAAC/vZ6c=")</f>
        <v>#VALUE!</v>
      </c>
      <c r="FM66" t="e">
        <f>AND(Birds!FQ38,"AAAAAC/vZ6g=")</f>
        <v>#VALUE!</v>
      </c>
      <c r="FN66" t="e">
        <f>AND(Birds!FR38,"AAAAAC/vZ6k=")</f>
        <v>#VALUE!</v>
      </c>
      <c r="FO66" t="e">
        <f>AND(Birds!FS38,"AAAAAC/vZ6o=")</f>
        <v>#VALUE!</v>
      </c>
      <c r="FP66" t="e">
        <f>AND(Birds!FT38,"AAAAAC/vZ6s=")</f>
        <v>#VALUE!</v>
      </c>
      <c r="FQ66" t="e">
        <f>AND(Birds!FU38,"AAAAAC/vZ6w=")</f>
        <v>#VALUE!</v>
      </c>
      <c r="FR66" t="e">
        <f>AND(Birds!FV38,"AAAAAC/vZ60=")</f>
        <v>#VALUE!</v>
      </c>
      <c r="FS66" t="e">
        <f>AND(Birds!FW38,"AAAAAC/vZ64=")</f>
        <v>#VALUE!</v>
      </c>
      <c r="FT66" t="e">
        <f>AND(Birds!FX38,"AAAAAC/vZ68=")</f>
        <v>#VALUE!</v>
      </c>
      <c r="FU66" t="e">
        <f>AND(Birds!FY38,"AAAAAC/vZ7A=")</f>
        <v>#VALUE!</v>
      </c>
      <c r="FV66" t="e">
        <f>AND(Birds!FZ38,"AAAAAC/vZ7E=")</f>
        <v>#VALUE!</v>
      </c>
      <c r="FW66" t="e">
        <f>AND(Birds!GA38,"AAAAAC/vZ7I=")</f>
        <v>#VALUE!</v>
      </c>
      <c r="FX66" t="e">
        <f>AND(Birds!GB38,"AAAAAC/vZ7M=")</f>
        <v>#VALUE!</v>
      </c>
      <c r="FY66" t="e">
        <f>AND(Birds!GC38,"AAAAAC/vZ7Q=")</f>
        <v>#VALUE!</v>
      </c>
      <c r="FZ66" t="e">
        <f>AND(Birds!GD38,"AAAAAC/vZ7U=")</f>
        <v>#VALUE!</v>
      </c>
      <c r="GA66" t="e">
        <f>AND(Birds!GE38,"AAAAAC/vZ7Y=")</f>
        <v>#VALUE!</v>
      </c>
      <c r="GB66" t="e">
        <f>AND(Birds!GF38,"AAAAAC/vZ7c=")</f>
        <v>#VALUE!</v>
      </c>
      <c r="GC66" t="e">
        <f>AND(Birds!GG38,"AAAAAC/vZ7g=")</f>
        <v>#VALUE!</v>
      </c>
      <c r="GD66" t="e">
        <f>AND(Birds!GH38,"AAAAAC/vZ7k=")</f>
        <v>#VALUE!</v>
      </c>
      <c r="GE66" t="e">
        <f>AND(Birds!GI38,"AAAAAC/vZ7o=")</f>
        <v>#VALUE!</v>
      </c>
      <c r="GF66" t="e">
        <f>AND(Birds!GJ38,"AAAAAC/vZ7s=")</f>
        <v>#VALUE!</v>
      </c>
      <c r="GG66" t="e">
        <f>AND(Birds!GK38,"AAAAAC/vZ7w=")</f>
        <v>#VALUE!</v>
      </c>
      <c r="GH66" t="e">
        <f>AND(Birds!GL38,"AAAAAC/vZ70=")</f>
        <v>#VALUE!</v>
      </c>
      <c r="GI66" t="e">
        <f>AND(Birds!GM38,"AAAAAC/vZ74=")</f>
        <v>#VALUE!</v>
      </c>
      <c r="GJ66">
        <f>IF(Birds!39:39,"AAAAAC/vZ78=",0)</f>
        <v>0</v>
      </c>
      <c r="GK66" t="e">
        <f>AND(Birds!A39,"AAAAAC/vZ8A=")</f>
        <v>#VALUE!</v>
      </c>
      <c r="GL66" t="e">
        <f>AND(Birds!B39,"AAAAAC/vZ8E=")</f>
        <v>#VALUE!</v>
      </c>
      <c r="GM66" t="e">
        <f>AND(Birds!C39,"AAAAAC/vZ8I=")</f>
        <v>#VALUE!</v>
      </c>
      <c r="GN66" t="e">
        <f>AND(Birds!D39,"AAAAAC/vZ8M=")</f>
        <v>#VALUE!</v>
      </c>
      <c r="GO66" t="e">
        <f>AND(Birds!E39,"AAAAAC/vZ8Q=")</f>
        <v>#VALUE!</v>
      </c>
      <c r="GP66" t="e">
        <f>AND(Birds!F39,"AAAAAC/vZ8U=")</f>
        <v>#VALUE!</v>
      </c>
      <c r="GQ66" t="e">
        <f>AND(Birds!G39,"AAAAAC/vZ8Y=")</f>
        <v>#VALUE!</v>
      </c>
      <c r="GR66" t="e">
        <f>AND(Birds!H39,"AAAAAC/vZ8c=")</f>
        <v>#VALUE!</v>
      </c>
      <c r="GS66" t="e">
        <f>AND(Birds!I39,"AAAAAC/vZ8g=")</f>
        <v>#VALUE!</v>
      </c>
      <c r="GT66" t="e">
        <f>AND(Birds!J39,"AAAAAC/vZ8k=")</f>
        <v>#VALUE!</v>
      </c>
      <c r="GU66" t="e">
        <f>AND(Birds!K39,"AAAAAC/vZ8o=")</f>
        <v>#VALUE!</v>
      </c>
      <c r="GV66" t="e">
        <f>AND(Birds!L39,"AAAAAC/vZ8s=")</f>
        <v>#VALUE!</v>
      </c>
      <c r="GW66" t="e">
        <f>AND(Birds!M39,"AAAAAC/vZ8w=")</f>
        <v>#VALUE!</v>
      </c>
      <c r="GX66" t="e">
        <f>AND(Birds!N39,"AAAAAC/vZ80=")</f>
        <v>#VALUE!</v>
      </c>
      <c r="GY66" t="e">
        <f>AND(Birds!O39,"AAAAAC/vZ84=")</f>
        <v>#VALUE!</v>
      </c>
      <c r="GZ66" t="e">
        <f>AND(Birds!P39,"AAAAAC/vZ88=")</f>
        <v>#VALUE!</v>
      </c>
      <c r="HA66" t="e">
        <f>AND(Birds!Q39,"AAAAAC/vZ9A=")</f>
        <v>#VALUE!</v>
      </c>
      <c r="HB66" t="e">
        <f>AND(Birds!R39,"AAAAAC/vZ9E=")</f>
        <v>#VALUE!</v>
      </c>
      <c r="HC66" t="e">
        <f>AND(Birds!S39,"AAAAAC/vZ9I=")</f>
        <v>#VALUE!</v>
      </c>
      <c r="HD66" t="e">
        <f>AND(Birds!T39,"AAAAAC/vZ9M=")</f>
        <v>#VALUE!</v>
      </c>
      <c r="HE66" t="e">
        <f>AND(Birds!U39,"AAAAAC/vZ9Q=")</f>
        <v>#VALUE!</v>
      </c>
      <c r="HF66" t="e">
        <f>AND(Birds!V39,"AAAAAC/vZ9U=")</f>
        <v>#VALUE!</v>
      </c>
      <c r="HG66" t="e">
        <f>AND(Birds!W39,"AAAAAC/vZ9Y=")</f>
        <v>#VALUE!</v>
      </c>
      <c r="HH66" t="e">
        <f>AND(Birds!X39,"AAAAAC/vZ9c=")</f>
        <v>#VALUE!</v>
      </c>
      <c r="HI66" t="e">
        <f>AND(Birds!Y39,"AAAAAC/vZ9g=")</f>
        <v>#VALUE!</v>
      </c>
      <c r="HJ66" t="e">
        <f>AND(Birds!Z39,"AAAAAC/vZ9k=")</f>
        <v>#VALUE!</v>
      </c>
      <c r="HK66" t="e">
        <f>AND(Birds!AA39,"AAAAAC/vZ9o=")</f>
        <v>#VALUE!</v>
      </c>
      <c r="HL66" t="e">
        <f>AND(Birds!AB39,"AAAAAC/vZ9s=")</f>
        <v>#VALUE!</v>
      </c>
      <c r="HM66" t="e">
        <f>AND(Birds!AC39,"AAAAAC/vZ9w=")</f>
        <v>#VALUE!</v>
      </c>
      <c r="HN66" t="e">
        <f>AND(Birds!AD39,"AAAAAC/vZ90=")</f>
        <v>#VALUE!</v>
      </c>
      <c r="HO66" t="e">
        <f>AND(Birds!AE39,"AAAAAC/vZ94=")</f>
        <v>#VALUE!</v>
      </c>
      <c r="HP66" t="e">
        <f>AND(Birds!AF39,"AAAAAC/vZ98=")</f>
        <v>#VALUE!</v>
      </c>
      <c r="HQ66" t="e">
        <f>AND(Birds!AG39,"AAAAAC/vZ+A=")</f>
        <v>#VALUE!</v>
      </c>
      <c r="HR66" t="e">
        <f>AND(Birds!AH39,"AAAAAC/vZ+E=")</f>
        <v>#VALUE!</v>
      </c>
      <c r="HS66" t="e">
        <f>AND(Birds!AI39,"AAAAAC/vZ+I=")</f>
        <v>#VALUE!</v>
      </c>
      <c r="HT66" t="e">
        <f>AND(Birds!AJ39,"AAAAAC/vZ+M=")</f>
        <v>#VALUE!</v>
      </c>
      <c r="HU66" t="e">
        <f>AND(Birds!AK39,"AAAAAC/vZ+Q=")</f>
        <v>#VALUE!</v>
      </c>
      <c r="HV66" t="e">
        <f>AND(Birds!AL39,"AAAAAC/vZ+U=")</f>
        <v>#VALUE!</v>
      </c>
      <c r="HW66" t="e">
        <f>AND(Birds!AM39,"AAAAAC/vZ+Y=")</f>
        <v>#VALUE!</v>
      </c>
      <c r="HX66" t="e">
        <f>AND(Birds!AN39,"AAAAAC/vZ+c=")</f>
        <v>#VALUE!</v>
      </c>
      <c r="HY66" t="e">
        <f>AND(Birds!AO39,"AAAAAC/vZ+g=")</f>
        <v>#VALUE!</v>
      </c>
      <c r="HZ66" t="e">
        <f>AND(Birds!AP39,"AAAAAC/vZ+k=")</f>
        <v>#VALUE!</v>
      </c>
      <c r="IA66" t="e">
        <f>AND(Birds!AQ39,"AAAAAC/vZ+o=")</f>
        <v>#VALUE!</v>
      </c>
      <c r="IB66" t="e">
        <f>AND(Birds!AR39,"AAAAAC/vZ+s=")</f>
        <v>#VALUE!</v>
      </c>
      <c r="IC66" t="e">
        <f>AND(Birds!AS39,"AAAAAC/vZ+w=")</f>
        <v>#VALUE!</v>
      </c>
      <c r="ID66" t="e">
        <f>AND(Birds!AT39,"AAAAAC/vZ+0=")</f>
        <v>#VALUE!</v>
      </c>
      <c r="IE66" t="e">
        <f>AND(Birds!AU39,"AAAAAC/vZ+4=")</f>
        <v>#VALUE!</v>
      </c>
      <c r="IF66" t="e">
        <f>AND(Birds!AV39,"AAAAAC/vZ+8=")</f>
        <v>#VALUE!</v>
      </c>
      <c r="IG66" t="e">
        <f>AND(Birds!AW39,"AAAAAC/vZ/A=")</f>
        <v>#VALUE!</v>
      </c>
      <c r="IH66" t="e">
        <f>AND(Birds!AX39,"AAAAAC/vZ/E=")</f>
        <v>#VALUE!</v>
      </c>
      <c r="II66" t="e">
        <f>AND(Birds!AY39,"AAAAAC/vZ/I=")</f>
        <v>#VALUE!</v>
      </c>
      <c r="IJ66" t="e">
        <f>AND(Birds!AZ39,"AAAAAC/vZ/M=")</f>
        <v>#VALUE!</v>
      </c>
      <c r="IK66" t="e">
        <f>AND(Birds!BA39,"AAAAAC/vZ/Q=")</f>
        <v>#VALUE!</v>
      </c>
      <c r="IL66" t="e">
        <f>AND(Birds!BB39,"AAAAAC/vZ/U=")</f>
        <v>#VALUE!</v>
      </c>
      <c r="IM66" t="e">
        <f>AND(Birds!BC39,"AAAAAC/vZ/Y=")</f>
        <v>#VALUE!</v>
      </c>
      <c r="IN66" t="e">
        <f>AND(Birds!BD39,"AAAAAC/vZ/c=")</f>
        <v>#VALUE!</v>
      </c>
      <c r="IO66" t="e">
        <f>AND(Birds!BE39,"AAAAAC/vZ/g=")</f>
        <v>#VALUE!</v>
      </c>
      <c r="IP66" t="e">
        <f>AND(Birds!BF39,"AAAAAC/vZ/k=")</f>
        <v>#VALUE!</v>
      </c>
      <c r="IQ66" t="e">
        <f>AND(Birds!BG39,"AAAAAC/vZ/o=")</f>
        <v>#VALUE!</v>
      </c>
      <c r="IR66" t="e">
        <f>AND(Birds!BH39,"AAAAAC/vZ/s=")</f>
        <v>#VALUE!</v>
      </c>
      <c r="IS66" t="e">
        <f>AND(Birds!BI39,"AAAAAC/vZ/w=")</f>
        <v>#VALUE!</v>
      </c>
      <c r="IT66" t="e">
        <f>AND(Birds!BJ39,"AAAAAC/vZ/0=")</f>
        <v>#VALUE!</v>
      </c>
      <c r="IU66" t="e">
        <f>AND(Birds!BK39,"AAAAAC/vZ/4=")</f>
        <v>#VALUE!</v>
      </c>
      <c r="IV66" t="e">
        <f>AND(Birds!BL39,"AAAAAC/vZ/8=")</f>
        <v>#VALUE!</v>
      </c>
    </row>
    <row r="67" spans="1:256">
      <c r="A67" t="e">
        <f>AND(Birds!BM39,"AAAAAF5v/AA=")</f>
        <v>#VALUE!</v>
      </c>
      <c r="B67" t="e">
        <f>AND(Birds!BN39,"AAAAAF5v/AE=")</f>
        <v>#VALUE!</v>
      </c>
      <c r="C67" t="e">
        <f>AND(Birds!BO39,"AAAAAF5v/AI=")</f>
        <v>#VALUE!</v>
      </c>
      <c r="D67" t="e">
        <f>AND(Birds!BP39,"AAAAAF5v/AM=")</f>
        <v>#VALUE!</v>
      </c>
      <c r="E67" t="e">
        <f>AND(Birds!BQ39,"AAAAAF5v/AQ=")</f>
        <v>#VALUE!</v>
      </c>
      <c r="F67" t="e">
        <f>AND(Birds!BR39,"AAAAAF5v/AU=")</f>
        <v>#VALUE!</v>
      </c>
      <c r="G67" t="e">
        <f>AND(Birds!BS39,"AAAAAF5v/AY=")</f>
        <v>#VALUE!</v>
      </c>
      <c r="H67" t="e">
        <f>AND(Birds!BT39,"AAAAAF5v/Ac=")</f>
        <v>#VALUE!</v>
      </c>
      <c r="I67" t="e">
        <f>AND(Birds!BU39,"AAAAAF5v/Ag=")</f>
        <v>#VALUE!</v>
      </c>
      <c r="J67" t="e">
        <f>AND(Birds!BV39,"AAAAAF5v/Ak=")</f>
        <v>#VALUE!</v>
      </c>
      <c r="K67" t="e">
        <f>AND(Birds!BW39,"AAAAAF5v/Ao=")</f>
        <v>#VALUE!</v>
      </c>
      <c r="L67" t="e">
        <f>AND(Birds!BX39,"AAAAAF5v/As=")</f>
        <v>#VALUE!</v>
      </c>
      <c r="M67" t="e">
        <f>AND(Birds!BY39,"AAAAAF5v/Aw=")</f>
        <v>#VALUE!</v>
      </c>
      <c r="N67" t="e">
        <f>AND(Birds!BZ39,"AAAAAF5v/A0=")</f>
        <v>#VALUE!</v>
      </c>
      <c r="O67" t="e">
        <f>AND(Birds!CA39,"AAAAAF5v/A4=")</f>
        <v>#VALUE!</v>
      </c>
      <c r="P67" t="e">
        <f>AND(Birds!CB39,"AAAAAF5v/A8=")</f>
        <v>#VALUE!</v>
      </c>
      <c r="Q67" t="e">
        <f>AND(Birds!CC39,"AAAAAF5v/BA=")</f>
        <v>#VALUE!</v>
      </c>
      <c r="R67" t="e">
        <f>AND(Birds!CD39,"AAAAAF5v/BE=")</f>
        <v>#VALUE!</v>
      </c>
      <c r="S67" t="e">
        <f>AND(Birds!CE39,"AAAAAF5v/BI=")</f>
        <v>#VALUE!</v>
      </c>
      <c r="T67" t="e">
        <f>AND(Birds!CF39,"AAAAAF5v/BM=")</f>
        <v>#VALUE!</v>
      </c>
      <c r="U67" t="e">
        <f>AND(Birds!CG39,"AAAAAF5v/BQ=")</f>
        <v>#VALUE!</v>
      </c>
      <c r="V67" t="e">
        <f>AND(Birds!CH39,"AAAAAF5v/BU=")</f>
        <v>#VALUE!</v>
      </c>
      <c r="W67" t="e">
        <f>AND(Birds!CI39,"AAAAAF5v/BY=")</f>
        <v>#VALUE!</v>
      </c>
      <c r="X67" t="e">
        <f>AND(Birds!CJ39,"AAAAAF5v/Bc=")</f>
        <v>#VALUE!</v>
      </c>
      <c r="Y67" t="e">
        <f>AND(Birds!CK39,"AAAAAF5v/Bg=")</f>
        <v>#VALUE!</v>
      </c>
      <c r="Z67" t="e">
        <f>AND(Birds!CL39,"AAAAAF5v/Bk=")</f>
        <v>#VALUE!</v>
      </c>
      <c r="AA67" t="e">
        <f>AND(Birds!CM39,"AAAAAF5v/Bo=")</f>
        <v>#VALUE!</v>
      </c>
      <c r="AB67" t="e">
        <f>AND(Birds!CN39,"AAAAAF5v/Bs=")</f>
        <v>#VALUE!</v>
      </c>
      <c r="AC67" t="e">
        <f>AND(Birds!CO39,"AAAAAF5v/Bw=")</f>
        <v>#VALUE!</v>
      </c>
      <c r="AD67" t="e">
        <f>AND(Birds!CP39,"AAAAAF5v/B0=")</f>
        <v>#VALUE!</v>
      </c>
      <c r="AE67" t="e">
        <f>AND(Birds!CQ39,"AAAAAF5v/B4=")</f>
        <v>#VALUE!</v>
      </c>
      <c r="AF67" t="e">
        <f>AND(Birds!CR39,"AAAAAF5v/B8=")</f>
        <v>#VALUE!</v>
      </c>
      <c r="AG67" t="e">
        <f>AND(Birds!CS39,"AAAAAF5v/CA=")</f>
        <v>#VALUE!</v>
      </c>
      <c r="AH67" t="e">
        <f>AND(Birds!CT39,"AAAAAF5v/CE=")</f>
        <v>#VALUE!</v>
      </c>
      <c r="AI67" t="e">
        <f>AND(Birds!CU39,"AAAAAF5v/CI=")</f>
        <v>#VALUE!</v>
      </c>
      <c r="AJ67" t="e">
        <f>AND(Birds!CV39,"AAAAAF5v/CM=")</f>
        <v>#VALUE!</v>
      </c>
      <c r="AK67" t="e">
        <f>AND(Birds!CW39,"AAAAAF5v/CQ=")</f>
        <v>#VALUE!</v>
      </c>
      <c r="AL67" t="e">
        <f>AND(Birds!CX39,"AAAAAF5v/CU=")</f>
        <v>#VALUE!</v>
      </c>
      <c r="AM67" t="e">
        <f>AND(Birds!CY39,"AAAAAF5v/CY=")</f>
        <v>#VALUE!</v>
      </c>
      <c r="AN67" t="e">
        <f>AND(Birds!CZ39,"AAAAAF5v/Cc=")</f>
        <v>#VALUE!</v>
      </c>
      <c r="AO67" t="e">
        <f>AND(Birds!DA39,"AAAAAF5v/Cg=")</f>
        <v>#VALUE!</v>
      </c>
      <c r="AP67" t="e">
        <f>AND(Birds!DB39,"AAAAAF5v/Ck=")</f>
        <v>#VALUE!</v>
      </c>
      <c r="AQ67" t="e">
        <f>AND(Birds!DC39,"AAAAAF5v/Co=")</f>
        <v>#VALUE!</v>
      </c>
      <c r="AR67" t="e">
        <f>AND(Birds!DD39,"AAAAAF5v/Cs=")</f>
        <v>#VALUE!</v>
      </c>
      <c r="AS67" t="e">
        <f>AND(Birds!DE39,"AAAAAF5v/Cw=")</f>
        <v>#VALUE!</v>
      </c>
      <c r="AT67" t="e">
        <f>AND(Birds!DF39,"AAAAAF5v/C0=")</f>
        <v>#VALUE!</v>
      </c>
      <c r="AU67" t="e">
        <f>AND(Birds!DG39,"AAAAAF5v/C4=")</f>
        <v>#VALUE!</v>
      </c>
      <c r="AV67" t="e">
        <f>AND(Birds!DH39,"AAAAAF5v/C8=")</f>
        <v>#VALUE!</v>
      </c>
      <c r="AW67" t="e">
        <f>AND(Birds!DI39,"AAAAAF5v/DA=")</f>
        <v>#VALUE!</v>
      </c>
      <c r="AX67" t="e">
        <f>AND(Birds!DJ39,"AAAAAF5v/DE=")</f>
        <v>#VALUE!</v>
      </c>
      <c r="AY67" t="e">
        <f>AND(Birds!DK39,"AAAAAF5v/DI=")</f>
        <v>#VALUE!</v>
      </c>
      <c r="AZ67" t="e">
        <f>AND(Birds!DL39,"AAAAAF5v/DM=")</f>
        <v>#VALUE!</v>
      </c>
      <c r="BA67" t="e">
        <f>AND(Birds!DM39,"AAAAAF5v/DQ=")</f>
        <v>#VALUE!</v>
      </c>
      <c r="BB67" t="e">
        <f>AND(Birds!DN39,"AAAAAF5v/DU=")</f>
        <v>#VALUE!</v>
      </c>
      <c r="BC67" t="e">
        <f>AND(Birds!DO39,"AAAAAF5v/DY=")</f>
        <v>#VALUE!</v>
      </c>
      <c r="BD67" t="e">
        <f>AND(Birds!DP39,"AAAAAF5v/Dc=")</f>
        <v>#VALUE!</v>
      </c>
      <c r="BE67" t="e">
        <f>AND(Birds!DQ39,"AAAAAF5v/Dg=")</f>
        <v>#VALUE!</v>
      </c>
      <c r="BF67" t="e">
        <f>AND(Birds!DR39,"AAAAAF5v/Dk=")</f>
        <v>#VALUE!</v>
      </c>
      <c r="BG67" t="e">
        <f>AND(Birds!DS39,"AAAAAF5v/Do=")</f>
        <v>#VALUE!</v>
      </c>
      <c r="BH67" t="e">
        <f>AND(Birds!DT39,"AAAAAF5v/Ds=")</f>
        <v>#VALUE!</v>
      </c>
      <c r="BI67" t="e">
        <f>AND(Birds!DU39,"AAAAAF5v/Dw=")</f>
        <v>#VALUE!</v>
      </c>
      <c r="BJ67" t="e">
        <f>AND(Birds!DV39,"AAAAAF5v/D0=")</f>
        <v>#VALUE!</v>
      </c>
      <c r="BK67" t="e">
        <f>AND(Birds!DW39,"AAAAAF5v/D4=")</f>
        <v>#VALUE!</v>
      </c>
      <c r="BL67" t="e">
        <f>AND(Birds!DX39,"AAAAAF5v/D8=")</f>
        <v>#VALUE!</v>
      </c>
      <c r="BM67" t="e">
        <f>AND(Birds!DY39,"AAAAAF5v/EA=")</f>
        <v>#VALUE!</v>
      </c>
      <c r="BN67" t="e">
        <f>AND(Birds!DZ39,"AAAAAF5v/EE=")</f>
        <v>#VALUE!</v>
      </c>
      <c r="BO67" t="e">
        <f>AND(Birds!EA39,"AAAAAF5v/EI=")</f>
        <v>#VALUE!</v>
      </c>
      <c r="BP67" t="e">
        <f>AND(Birds!EB39,"AAAAAF5v/EM=")</f>
        <v>#VALUE!</v>
      </c>
      <c r="BQ67" t="e">
        <f>AND(Birds!EC39,"AAAAAF5v/EQ=")</f>
        <v>#VALUE!</v>
      </c>
      <c r="BR67" t="e">
        <f>AND(Birds!ED39,"AAAAAF5v/EU=")</f>
        <v>#VALUE!</v>
      </c>
      <c r="BS67" t="e">
        <f>AND(Birds!EE39,"AAAAAF5v/EY=")</f>
        <v>#VALUE!</v>
      </c>
      <c r="BT67" t="e">
        <f>AND(Birds!EF39,"AAAAAF5v/Ec=")</f>
        <v>#VALUE!</v>
      </c>
      <c r="BU67" t="e">
        <f>AND(Birds!EG39,"AAAAAF5v/Eg=")</f>
        <v>#VALUE!</v>
      </c>
      <c r="BV67" t="e">
        <f>AND(Birds!EH39,"AAAAAF5v/Ek=")</f>
        <v>#VALUE!</v>
      </c>
      <c r="BW67" t="e">
        <f>AND(Birds!EI39,"AAAAAF5v/Eo=")</f>
        <v>#VALUE!</v>
      </c>
      <c r="BX67" t="e">
        <f>AND(Birds!EJ39,"AAAAAF5v/Es=")</f>
        <v>#VALUE!</v>
      </c>
      <c r="BY67" t="e">
        <f>AND(Birds!EK39,"AAAAAF5v/Ew=")</f>
        <v>#VALUE!</v>
      </c>
      <c r="BZ67" t="e">
        <f>AND(Birds!EL39,"AAAAAF5v/E0=")</f>
        <v>#VALUE!</v>
      </c>
      <c r="CA67" t="e">
        <f>AND(Birds!EM39,"AAAAAF5v/E4=")</f>
        <v>#VALUE!</v>
      </c>
      <c r="CB67" t="e">
        <f>AND(Birds!EN39,"AAAAAF5v/E8=")</f>
        <v>#VALUE!</v>
      </c>
      <c r="CC67" t="e">
        <f>AND(Birds!EO39,"AAAAAF5v/FA=")</f>
        <v>#VALUE!</v>
      </c>
      <c r="CD67" t="e">
        <f>AND(Birds!EP39,"AAAAAF5v/FE=")</f>
        <v>#VALUE!</v>
      </c>
      <c r="CE67" t="e">
        <f>AND(Birds!EQ39,"AAAAAF5v/FI=")</f>
        <v>#VALUE!</v>
      </c>
      <c r="CF67" t="e">
        <f>AND(Birds!ER39,"AAAAAF5v/FM=")</f>
        <v>#VALUE!</v>
      </c>
      <c r="CG67" t="e">
        <f>AND(Birds!ES39,"AAAAAF5v/FQ=")</f>
        <v>#VALUE!</v>
      </c>
      <c r="CH67" t="e">
        <f>AND(Birds!ET39,"AAAAAF5v/FU=")</f>
        <v>#VALUE!</v>
      </c>
      <c r="CI67" t="e">
        <f>AND(Birds!EU39,"AAAAAF5v/FY=")</f>
        <v>#VALUE!</v>
      </c>
      <c r="CJ67" t="e">
        <f>AND(Birds!EV39,"AAAAAF5v/Fc=")</f>
        <v>#VALUE!</v>
      </c>
      <c r="CK67" t="e">
        <f>AND(Birds!EW39,"AAAAAF5v/Fg=")</f>
        <v>#VALUE!</v>
      </c>
      <c r="CL67" t="e">
        <f>AND(Birds!EX39,"AAAAAF5v/Fk=")</f>
        <v>#VALUE!</v>
      </c>
      <c r="CM67" t="e">
        <f>AND(Birds!EY39,"AAAAAF5v/Fo=")</f>
        <v>#VALUE!</v>
      </c>
      <c r="CN67" t="e">
        <f>AND(Birds!EZ39,"AAAAAF5v/Fs=")</f>
        <v>#VALUE!</v>
      </c>
      <c r="CO67" t="e">
        <f>AND(Birds!FA39,"AAAAAF5v/Fw=")</f>
        <v>#VALUE!</v>
      </c>
      <c r="CP67" t="e">
        <f>AND(Birds!FB39,"AAAAAF5v/F0=")</f>
        <v>#VALUE!</v>
      </c>
      <c r="CQ67" t="e">
        <f>AND(Birds!FC39,"AAAAAF5v/F4=")</f>
        <v>#VALUE!</v>
      </c>
      <c r="CR67" t="e">
        <f>AND(Birds!FD39,"AAAAAF5v/F8=")</f>
        <v>#VALUE!</v>
      </c>
      <c r="CS67" t="e">
        <f>AND(Birds!FE39,"AAAAAF5v/GA=")</f>
        <v>#VALUE!</v>
      </c>
      <c r="CT67" t="e">
        <f>AND(Birds!FF39,"AAAAAF5v/GE=")</f>
        <v>#VALUE!</v>
      </c>
      <c r="CU67" t="e">
        <f>AND(Birds!FG39,"AAAAAF5v/GI=")</f>
        <v>#VALUE!</v>
      </c>
      <c r="CV67" t="e">
        <f>AND(Birds!FH39,"AAAAAF5v/GM=")</f>
        <v>#VALUE!</v>
      </c>
      <c r="CW67" t="e">
        <f>AND(Birds!FI39,"AAAAAF5v/GQ=")</f>
        <v>#VALUE!</v>
      </c>
      <c r="CX67" t="e">
        <f>AND(Birds!FJ39,"AAAAAF5v/GU=")</f>
        <v>#VALUE!</v>
      </c>
      <c r="CY67" t="e">
        <f>AND(Birds!FK39,"AAAAAF5v/GY=")</f>
        <v>#VALUE!</v>
      </c>
      <c r="CZ67" t="e">
        <f>AND(Birds!FL39,"AAAAAF5v/Gc=")</f>
        <v>#VALUE!</v>
      </c>
      <c r="DA67" t="e">
        <f>AND(Birds!FM39,"AAAAAF5v/Gg=")</f>
        <v>#VALUE!</v>
      </c>
      <c r="DB67" t="e">
        <f>AND(Birds!FN39,"AAAAAF5v/Gk=")</f>
        <v>#VALUE!</v>
      </c>
      <c r="DC67" t="e">
        <f>AND(Birds!FO39,"AAAAAF5v/Go=")</f>
        <v>#VALUE!</v>
      </c>
      <c r="DD67" t="e">
        <f>AND(Birds!FP39,"AAAAAF5v/Gs=")</f>
        <v>#VALUE!</v>
      </c>
      <c r="DE67" t="e">
        <f>AND(Birds!FQ39,"AAAAAF5v/Gw=")</f>
        <v>#VALUE!</v>
      </c>
      <c r="DF67" t="e">
        <f>AND(Birds!FR39,"AAAAAF5v/G0=")</f>
        <v>#VALUE!</v>
      </c>
      <c r="DG67" t="e">
        <f>AND(Birds!FS39,"AAAAAF5v/G4=")</f>
        <v>#VALUE!</v>
      </c>
      <c r="DH67" t="e">
        <f>AND(Birds!FT39,"AAAAAF5v/G8=")</f>
        <v>#VALUE!</v>
      </c>
      <c r="DI67" t="e">
        <f>AND(Birds!FU39,"AAAAAF5v/HA=")</f>
        <v>#VALUE!</v>
      </c>
      <c r="DJ67" t="e">
        <f>AND(Birds!FV39,"AAAAAF5v/HE=")</f>
        <v>#VALUE!</v>
      </c>
      <c r="DK67" t="e">
        <f>AND(Birds!FW39,"AAAAAF5v/HI=")</f>
        <v>#VALUE!</v>
      </c>
      <c r="DL67" t="e">
        <f>AND(Birds!FX39,"AAAAAF5v/HM=")</f>
        <v>#VALUE!</v>
      </c>
      <c r="DM67" t="e">
        <f>AND(Birds!FY39,"AAAAAF5v/HQ=")</f>
        <v>#VALUE!</v>
      </c>
      <c r="DN67" t="e">
        <f>AND(Birds!FZ39,"AAAAAF5v/HU=")</f>
        <v>#VALUE!</v>
      </c>
      <c r="DO67" t="e">
        <f>AND(Birds!GA39,"AAAAAF5v/HY=")</f>
        <v>#VALUE!</v>
      </c>
      <c r="DP67" t="e">
        <f>AND(Birds!GB39,"AAAAAF5v/Hc=")</f>
        <v>#VALUE!</v>
      </c>
      <c r="DQ67" t="e">
        <f>AND(Birds!GC39,"AAAAAF5v/Hg=")</f>
        <v>#VALUE!</v>
      </c>
      <c r="DR67" t="e">
        <f>AND(Birds!GD39,"AAAAAF5v/Hk=")</f>
        <v>#VALUE!</v>
      </c>
      <c r="DS67" t="e">
        <f>AND(Birds!GE39,"AAAAAF5v/Ho=")</f>
        <v>#VALUE!</v>
      </c>
      <c r="DT67" t="e">
        <f>AND(Birds!GF39,"AAAAAF5v/Hs=")</f>
        <v>#VALUE!</v>
      </c>
      <c r="DU67" t="e">
        <f>AND(Birds!GG39,"AAAAAF5v/Hw=")</f>
        <v>#VALUE!</v>
      </c>
      <c r="DV67" t="e">
        <f>AND(Birds!GH39,"AAAAAF5v/H0=")</f>
        <v>#VALUE!</v>
      </c>
      <c r="DW67" t="e">
        <f>AND(Birds!GI39,"AAAAAF5v/H4=")</f>
        <v>#VALUE!</v>
      </c>
      <c r="DX67" t="e">
        <f>AND(Birds!GJ39,"AAAAAF5v/H8=")</f>
        <v>#VALUE!</v>
      </c>
      <c r="DY67" t="e">
        <f>AND(Birds!GK39,"AAAAAF5v/IA=")</f>
        <v>#VALUE!</v>
      </c>
      <c r="DZ67" t="e">
        <f>AND(Birds!GL39,"AAAAAF5v/IE=")</f>
        <v>#VALUE!</v>
      </c>
      <c r="EA67" t="e">
        <f>AND(Birds!GM39,"AAAAAF5v/II=")</f>
        <v>#VALUE!</v>
      </c>
      <c r="EB67">
        <f>IF(Birds!40:40,"AAAAAF5v/IM=",0)</f>
        <v>0</v>
      </c>
      <c r="EC67" t="e">
        <f>AND(Birds!A40,"AAAAAF5v/IQ=")</f>
        <v>#VALUE!</v>
      </c>
      <c r="ED67" t="e">
        <f>AND(Birds!B40,"AAAAAF5v/IU=")</f>
        <v>#VALUE!</v>
      </c>
      <c r="EE67" t="e">
        <f>AND(Birds!C40,"AAAAAF5v/IY=")</f>
        <v>#VALUE!</v>
      </c>
      <c r="EF67" t="e">
        <f>AND(Birds!D40,"AAAAAF5v/Ic=")</f>
        <v>#VALUE!</v>
      </c>
      <c r="EG67" t="e">
        <f>AND(Birds!E40,"AAAAAF5v/Ig=")</f>
        <v>#VALUE!</v>
      </c>
      <c r="EH67" t="e">
        <f>AND(Birds!F40,"AAAAAF5v/Ik=")</f>
        <v>#VALUE!</v>
      </c>
      <c r="EI67" t="e">
        <f>AND(Birds!G40,"AAAAAF5v/Io=")</f>
        <v>#VALUE!</v>
      </c>
      <c r="EJ67" t="e">
        <f>AND(Birds!H40,"AAAAAF5v/Is=")</f>
        <v>#VALUE!</v>
      </c>
      <c r="EK67" t="e">
        <f>AND(Birds!I40,"AAAAAF5v/Iw=")</f>
        <v>#VALUE!</v>
      </c>
      <c r="EL67" t="e">
        <f>AND(Birds!J40,"AAAAAF5v/I0=")</f>
        <v>#VALUE!</v>
      </c>
      <c r="EM67" t="e">
        <f>AND(Birds!K40,"AAAAAF5v/I4=")</f>
        <v>#VALUE!</v>
      </c>
      <c r="EN67" t="e">
        <f>AND(Birds!L40,"AAAAAF5v/I8=")</f>
        <v>#VALUE!</v>
      </c>
      <c r="EO67" t="e">
        <f>AND(Birds!M40,"AAAAAF5v/JA=")</f>
        <v>#VALUE!</v>
      </c>
      <c r="EP67" t="e">
        <f>AND(Birds!N40,"AAAAAF5v/JE=")</f>
        <v>#VALUE!</v>
      </c>
      <c r="EQ67" t="e">
        <f>AND(Birds!O40,"AAAAAF5v/JI=")</f>
        <v>#VALUE!</v>
      </c>
      <c r="ER67" t="e">
        <f>AND(Birds!P40,"AAAAAF5v/JM=")</f>
        <v>#VALUE!</v>
      </c>
      <c r="ES67" t="e">
        <f>AND(Birds!Q40,"AAAAAF5v/JQ=")</f>
        <v>#VALUE!</v>
      </c>
      <c r="ET67" t="e">
        <f>AND(Birds!R40,"AAAAAF5v/JU=")</f>
        <v>#VALUE!</v>
      </c>
      <c r="EU67" t="e">
        <f>AND(Birds!S40,"AAAAAF5v/JY=")</f>
        <v>#VALUE!</v>
      </c>
      <c r="EV67" t="e">
        <f>AND(Birds!T40,"AAAAAF5v/Jc=")</f>
        <v>#VALUE!</v>
      </c>
      <c r="EW67" t="e">
        <f>AND(Birds!U40,"AAAAAF5v/Jg=")</f>
        <v>#VALUE!</v>
      </c>
      <c r="EX67" t="e">
        <f>AND(Birds!V40,"AAAAAF5v/Jk=")</f>
        <v>#VALUE!</v>
      </c>
      <c r="EY67" t="e">
        <f>AND(Birds!W40,"AAAAAF5v/Jo=")</f>
        <v>#VALUE!</v>
      </c>
      <c r="EZ67" t="e">
        <f>AND(Birds!X40,"AAAAAF5v/Js=")</f>
        <v>#VALUE!</v>
      </c>
      <c r="FA67" t="e">
        <f>AND(Birds!Y40,"AAAAAF5v/Jw=")</f>
        <v>#VALUE!</v>
      </c>
      <c r="FB67" t="e">
        <f>AND(Birds!Z40,"AAAAAF5v/J0=")</f>
        <v>#VALUE!</v>
      </c>
      <c r="FC67" t="e">
        <f>AND(Birds!AA40,"AAAAAF5v/J4=")</f>
        <v>#VALUE!</v>
      </c>
      <c r="FD67" t="e">
        <f>AND(Birds!AB40,"AAAAAF5v/J8=")</f>
        <v>#VALUE!</v>
      </c>
      <c r="FE67" t="e">
        <f>AND(Birds!AC40,"AAAAAF5v/KA=")</f>
        <v>#VALUE!</v>
      </c>
      <c r="FF67" t="e">
        <f>AND(Birds!AD40,"AAAAAF5v/KE=")</f>
        <v>#VALUE!</v>
      </c>
      <c r="FG67" t="e">
        <f>AND(Birds!AE40,"AAAAAF5v/KI=")</f>
        <v>#VALUE!</v>
      </c>
      <c r="FH67" t="e">
        <f>AND(Birds!AF40,"AAAAAF5v/KM=")</f>
        <v>#VALUE!</v>
      </c>
      <c r="FI67" t="e">
        <f>AND(Birds!AG40,"AAAAAF5v/KQ=")</f>
        <v>#VALUE!</v>
      </c>
      <c r="FJ67" t="e">
        <f>AND(Birds!AH40,"AAAAAF5v/KU=")</f>
        <v>#VALUE!</v>
      </c>
      <c r="FK67" t="e">
        <f>AND(Birds!AI40,"AAAAAF5v/KY=")</f>
        <v>#VALUE!</v>
      </c>
      <c r="FL67" t="e">
        <f>AND(Birds!AJ40,"AAAAAF5v/Kc=")</f>
        <v>#VALUE!</v>
      </c>
      <c r="FM67" t="e">
        <f>AND(Birds!AK40,"AAAAAF5v/Kg=")</f>
        <v>#VALUE!</v>
      </c>
      <c r="FN67" t="e">
        <f>AND(Birds!AL40,"AAAAAF5v/Kk=")</f>
        <v>#VALUE!</v>
      </c>
      <c r="FO67" t="e">
        <f>AND(Birds!AM40,"AAAAAF5v/Ko=")</f>
        <v>#VALUE!</v>
      </c>
      <c r="FP67" t="e">
        <f>AND(Birds!AN40,"AAAAAF5v/Ks=")</f>
        <v>#VALUE!</v>
      </c>
      <c r="FQ67" t="e">
        <f>AND(Birds!AO40,"AAAAAF5v/Kw=")</f>
        <v>#VALUE!</v>
      </c>
      <c r="FR67" t="e">
        <f>AND(Birds!AP40,"AAAAAF5v/K0=")</f>
        <v>#VALUE!</v>
      </c>
      <c r="FS67" t="e">
        <f>AND(Birds!AQ40,"AAAAAF5v/K4=")</f>
        <v>#VALUE!</v>
      </c>
      <c r="FT67" t="e">
        <f>AND(Birds!AR40,"AAAAAF5v/K8=")</f>
        <v>#VALUE!</v>
      </c>
      <c r="FU67" t="e">
        <f>AND(Birds!AS40,"AAAAAF5v/LA=")</f>
        <v>#VALUE!</v>
      </c>
      <c r="FV67" t="e">
        <f>AND(Birds!AT40,"AAAAAF5v/LE=")</f>
        <v>#VALUE!</v>
      </c>
      <c r="FW67" t="e">
        <f>AND(Birds!AU40,"AAAAAF5v/LI=")</f>
        <v>#VALUE!</v>
      </c>
      <c r="FX67" t="e">
        <f>AND(Birds!AV40,"AAAAAF5v/LM=")</f>
        <v>#VALUE!</v>
      </c>
      <c r="FY67" t="e">
        <f>AND(Birds!AW40,"AAAAAF5v/LQ=")</f>
        <v>#VALUE!</v>
      </c>
      <c r="FZ67" t="e">
        <f>AND(Birds!AX40,"AAAAAF5v/LU=")</f>
        <v>#VALUE!</v>
      </c>
      <c r="GA67" t="e">
        <f>AND(Birds!AY40,"AAAAAF5v/LY=")</f>
        <v>#VALUE!</v>
      </c>
      <c r="GB67" t="e">
        <f>AND(Birds!AZ40,"AAAAAF5v/Lc=")</f>
        <v>#VALUE!</v>
      </c>
      <c r="GC67" t="e">
        <f>AND(Birds!BA40,"AAAAAF5v/Lg=")</f>
        <v>#VALUE!</v>
      </c>
      <c r="GD67" t="e">
        <f>AND(Birds!BB40,"AAAAAF5v/Lk=")</f>
        <v>#VALUE!</v>
      </c>
      <c r="GE67" t="e">
        <f>AND(Birds!BC40,"AAAAAF5v/Lo=")</f>
        <v>#VALUE!</v>
      </c>
      <c r="GF67" t="e">
        <f>AND(Birds!BD40,"AAAAAF5v/Ls=")</f>
        <v>#VALUE!</v>
      </c>
      <c r="GG67" t="e">
        <f>AND(Birds!BE40,"AAAAAF5v/Lw=")</f>
        <v>#VALUE!</v>
      </c>
      <c r="GH67" t="e">
        <f>AND(Birds!BF40,"AAAAAF5v/L0=")</f>
        <v>#VALUE!</v>
      </c>
      <c r="GI67" t="e">
        <f>AND(Birds!BG40,"AAAAAF5v/L4=")</f>
        <v>#VALUE!</v>
      </c>
      <c r="GJ67" t="e">
        <f>AND(Birds!BH40,"AAAAAF5v/L8=")</f>
        <v>#VALUE!</v>
      </c>
      <c r="GK67" t="e">
        <f>AND(Birds!BI40,"AAAAAF5v/MA=")</f>
        <v>#VALUE!</v>
      </c>
      <c r="GL67" t="e">
        <f>AND(Birds!BJ40,"AAAAAF5v/ME=")</f>
        <v>#VALUE!</v>
      </c>
      <c r="GM67" t="e">
        <f>AND(Birds!BK40,"AAAAAF5v/MI=")</f>
        <v>#VALUE!</v>
      </c>
      <c r="GN67" t="e">
        <f>AND(Birds!BL40,"AAAAAF5v/MM=")</f>
        <v>#VALUE!</v>
      </c>
      <c r="GO67" t="e">
        <f>AND(Birds!BM40,"AAAAAF5v/MQ=")</f>
        <v>#VALUE!</v>
      </c>
      <c r="GP67" t="e">
        <f>AND(Birds!BN40,"AAAAAF5v/MU=")</f>
        <v>#VALUE!</v>
      </c>
      <c r="GQ67" t="e">
        <f>AND(Birds!BO40,"AAAAAF5v/MY=")</f>
        <v>#VALUE!</v>
      </c>
      <c r="GR67" t="e">
        <f>AND(Birds!BP40,"AAAAAF5v/Mc=")</f>
        <v>#VALUE!</v>
      </c>
      <c r="GS67" t="e">
        <f>AND(Birds!BQ40,"AAAAAF5v/Mg=")</f>
        <v>#VALUE!</v>
      </c>
      <c r="GT67" t="e">
        <f>AND(Birds!BR40,"AAAAAF5v/Mk=")</f>
        <v>#VALUE!</v>
      </c>
      <c r="GU67" t="e">
        <f>AND(Birds!BS40,"AAAAAF5v/Mo=")</f>
        <v>#VALUE!</v>
      </c>
      <c r="GV67" t="e">
        <f>AND(Birds!BT40,"AAAAAF5v/Ms=")</f>
        <v>#VALUE!</v>
      </c>
      <c r="GW67" t="e">
        <f>AND(Birds!BU40,"AAAAAF5v/Mw=")</f>
        <v>#VALUE!</v>
      </c>
      <c r="GX67" t="e">
        <f>AND(Birds!BV40,"AAAAAF5v/M0=")</f>
        <v>#VALUE!</v>
      </c>
      <c r="GY67" t="e">
        <f>AND(Birds!BW40,"AAAAAF5v/M4=")</f>
        <v>#VALUE!</v>
      </c>
      <c r="GZ67" t="e">
        <f>AND(Birds!BX40,"AAAAAF5v/M8=")</f>
        <v>#VALUE!</v>
      </c>
      <c r="HA67" t="e">
        <f>AND(Birds!BY40,"AAAAAF5v/NA=")</f>
        <v>#VALUE!</v>
      </c>
      <c r="HB67" t="e">
        <f>AND(Birds!BZ40,"AAAAAF5v/NE=")</f>
        <v>#VALUE!</v>
      </c>
      <c r="HC67" t="e">
        <f>AND(Birds!CA40,"AAAAAF5v/NI=")</f>
        <v>#VALUE!</v>
      </c>
      <c r="HD67" t="e">
        <f>AND(Birds!CB40,"AAAAAF5v/NM=")</f>
        <v>#VALUE!</v>
      </c>
      <c r="HE67" t="e">
        <f>AND(Birds!CC40,"AAAAAF5v/NQ=")</f>
        <v>#VALUE!</v>
      </c>
      <c r="HF67" t="e">
        <f>AND(Birds!CD40,"AAAAAF5v/NU=")</f>
        <v>#VALUE!</v>
      </c>
      <c r="HG67" t="e">
        <f>AND(Birds!CE40,"AAAAAF5v/NY=")</f>
        <v>#VALUE!</v>
      </c>
      <c r="HH67" t="e">
        <f>AND(Birds!CF40,"AAAAAF5v/Nc=")</f>
        <v>#VALUE!</v>
      </c>
      <c r="HI67" t="e">
        <f>AND(Birds!CG40,"AAAAAF5v/Ng=")</f>
        <v>#VALUE!</v>
      </c>
      <c r="HJ67" t="e">
        <f>AND(Birds!CH40,"AAAAAF5v/Nk=")</f>
        <v>#VALUE!</v>
      </c>
      <c r="HK67" t="e">
        <f>AND(Birds!CI40,"AAAAAF5v/No=")</f>
        <v>#VALUE!</v>
      </c>
      <c r="HL67" t="e">
        <f>AND(Birds!CJ40,"AAAAAF5v/Ns=")</f>
        <v>#VALUE!</v>
      </c>
      <c r="HM67" t="e">
        <f>AND(Birds!CK40,"AAAAAF5v/Nw=")</f>
        <v>#VALUE!</v>
      </c>
      <c r="HN67" t="e">
        <f>AND(Birds!CL40,"AAAAAF5v/N0=")</f>
        <v>#VALUE!</v>
      </c>
      <c r="HO67" t="e">
        <f>AND(Birds!CM40,"AAAAAF5v/N4=")</f>
        <v>#VALUE!</v>
      </c>
      <c r="HP67" t="e">
        <f>AND(Birds!CN40,"AAAAAF5v/N8=")</f>
        <v>#VALUE!</v>
      </c>
      <c r="HQ67" t="e">
        <f>AND(Birds!CO40,"AAAAAF5v/OA=")</f>
        <v>#VALUE!</v>
      </c>
      <c r="HR67" t="e">
        <f>AND(Birds!CP40,"AAAAAF5v/OE=")</f>
        <v>#VALUE!</v>
      </c>
      <c r="HS67" t="e">
        <f>AND(Birds!CQ40,"AAAAAF5v/OI=")</f>
        <v>#VALUE!</v>
      </c>
      <c r="HT67" t="e">
        <f>AND(Birds!CR40,"AAAAAF5v/OM=")</f>
        <v>#VALUE!</v>
      </c>
      <c r="HU67" t="e">
        <f>AND(Birds!CS40,"AAAAAF5v/OQ=")</f>
        <v>#VALUE!</v>
      </c>
      <c r="HV67" t="e">
        <f>AND(Birds!CT40,"AAAAAF5v/OU=")</f>
        <v>#VALUE!</v>
      </c>
      <c r="HW67" t="e">
        <f>AND(Birds!CU40,"AAAAAF5v/OY=")</f>
        <v>#VALUE!</v>
      </c>
      <c r="HX67" t="e">
        <f>AND(Birds!CV40,"AAAAAF5v/Oc=")</f>
        <v>#VALUE!</v>
      </c>
      <c r="HY67" t="e">
        <f>AND(Birds!CW40,"AAAAAF5v/Og=")</f>
        <v>#VALUE!</v>
      </c>
      <c r="HZ67" t="e">
        <f>AND(Birds!CX40,"AAAAAF5v/Ok=")</f>
        <v>#VALUE!</v>
      </c>
      <c r="IA67" t="e">
        <f>AND(Birds!CY40,"AAAAAF5v/Oo=")</f>
        <v>#VALUE!</v>
      </c>
      <c r="IB67" t="e">
        <f>AND(Birds!CZ40,"AAAAAF5v/Os=")</f>
        <v>#VALUE!</v>
      </c>
      <c r="IC67" t="e">
        <f>AND(Birds!DA40,"AAAAAF5v/Ow=")</f>
        <v>#VALUE!</v>
      </c>
      <c r="ID67" t="e">
        <f>AND(Birds!DB40,"AAAAAF5v/O0=")</f>
        <v>#VALUE!</v>
      </c>
      <c r="IE67" t="e">
        <f>AND(Birds!DC40,"AAAAAF5v/O4=")</f>
        <v>#VALUE!</v>
      </c>
      <c r="IF67" t="e">
        <f>AND(Birds!DD40,"AAAAAF5v/O8=")</f>
        <v>#VALUE!</v>
      </c>
      <c r="IG67" t="e">
        <f>AND(Birds!DE40,"AAAAAF5v/PA=")</f>
        <v>#VALUE!</v>
      </c>
      <c r="IH67" t="e">
        <f>AND(Birds!DF40,"AAAAAF5v/PE=")</f>
        <v>#VALUE!</v>
      </c>
      <c r="II67" t="e">
        <f>AND(Birds!DG40,"AAAAAF5v/PI=")</f>
        <v>#VALUE!</v>
      </c>
      <c r="IJ67" t="e">
        <f>AND(Birds!DH40,"AAAAAF5v/PM=")</f>
        <v>#VALUE!</v>
      </c>
      <c r="IK67" t="e">
        <f>AND(Birds!DI40,"AAAAAF5v/PQ=")</f>
        <v>#VALUE!</v>
      </c>
      <c r="IL67" t="e">
        <f>AND(Birds!DJ40,"AAAAAF5v/PU=")</f>
        <v>#VALUE!</v>
      </c>
      <c r="IM67" t="e">
        <f>AND(Birds!DK40,"AAAAAF5v/PY=")</f>
        <v>#VALUE!</v>
      </c>
      <c r="IN67" t="e">
        <f>AND(Birds!DL40,"AAAAAF5v/Pc=")</f>
        <v>#VALUE!</v>
      </c>
      <c r="IO67" t="e">
        <f>AND(Birds!DM40,"AAAAAF5v/Pg=")</f>
        <v>#VALUE!</v>
      </c>
      <c r="IP67" t="e">
        <f>AND(Birds!DN40,"AAAAAF5v/Pk=")</f>
        <v>#VALUE!</v>
      </c>
      <c r="IQ67" t="e">
        <f>AND(Birds!DO40,"AAAAAF5v/Po=")</f>
        <v>#VALUE!</v>
      </c>
      <c r="IR67" t="e">
        <f>AND(Birds!DP40,"AAAAAF5v/Ps=")</f>
        <v>#VALUE!</v>
      </c>
      <c r="IS67" t="e">
        <f>AND(Birds!DQ40,"AAAAAF5v/Pw=")</f>
        <v>#VALUE!</v>
      </c>
      <c r="IT67" t="e">
        <f>AND(Birds!DR40,"AAAAAF5v/P0=")</f>
        <v>#VALUE!</v>
      </c>
      <c r="IU67" t="e">
        <f>AND(Birds!DS40,"AAAAAF5v/P4=")</f>
        <v>#VALUE!</v>
      </c>
      <c r="IV67" t="e">
        <f>AND(Birds!DT40,"AAAAAF5v/P8=")</f>
        <v>#VALUE!</v>
      </c>
    </row>
    <row r="68" spans="1:256">
      <c r="A68" t="e">
        <f>AND(Birds!DU40,"AAAAAA/p1wA=")</f>
        <v>#VALUE!</v>
      </c>
      <c r="B68" t="e">
        <f>AND(Birds!DV40,"AAAAAA/p1wE=")</f>
        <v>#VALUE!</v>
      </c>
      <c r="C68" t="e">
        <f>AND(Birds!DW40,"AAAAAA/p1wI=")</f>
        <v>#VALUE!</v>
      </c>
      <c r="D68" t="e">
        <f>AND(Birds!DX40,"AAAAAA/p1wM=")</f>
        <v>#VALUE!</v>
      </c>
      <c r="E68" t="e">
        <f>AND(Birds!DY40,"AAAAAA/p1wQ=")</f>
        <v>#VALUE!</v>
      </c>
      <c r="F68" t="e">
        <f>AND(Birds!DZ40,"AAAAAA/p1wU=")</f>
        <v>#VALUE!</v>
      </c>
      <c r="G68" t="e">
        <f>AND(Birds!EA40,"AAAAAA/p1wY=")</f>
        <v>#VALUE!</v>
      </c>
      <c r="H68" t="e">
        <f>AND(Birds!EB40,"AAAAAA/p1wc=")</f>
        <v>#VALUE!</v>
      </c>
      <c r="I68" t="e">
        <f>AND(Birds!EC40,"AAAAAA/p1wg=")</f>
        <v>#VALUE!</v>
      </c>
      <c r="J68" t="e">
        <f>AND(Birds!ED40,"AAAAAA/p1wk=")</f>
        <v>#VALUE!</v>
      </c>
      <c r="K68" t="e">
        <f>AND(Birds!EE40,"AAAAAA/p1wo=")</f>
        <v>#VALUE!</v>
      </c>
      <c r="L68" t="e">
        <f>AND(Birds!EF40,"AAAAAA/p1ws=")</f>
        <v>#VALUE!</v>
      </c>
      <c r="M68" t="e">
        <f>AND(Birds!EG40,"AAAAAA/p1ww=")</f>
        <v>#VALUE!</v>
      </c>
      <c r="N68" t="e">
        <f>AND(Birds!EH40,"AAAAAA/p1w0=")</f>
        <v>#VALUE!</v>
      </c>
      <c r="O68" t="e">
        <f>AND(Birds!EI40,"AAAAAA/p1w4=")</f>
        <v>#VALUE!</v>
      </c>
      <c r="P68" t="e">
        <f>AND(Birds!EJ40,"AAAAAA/p1w8=")</f>
        <v>#VALUE!</v>
      </c>
      <c r="Q68" t="e">
        <f>AND(Birds!EK40,"AAAAAA/p1xA=")</f>
        <v>#VALUE!</v>
      </c>
      <c r="R68" t="e">
        <f>AND(Birds!EL40,"AAAAAA/p1xE=")</f>
        <v>#VALUE!</v>
      </c>
      <c r="S68" t="e">
        <f>AND(Birds!EM40,"AAAAAA/p1xI=")</f>
        <v>#VALUE!</v>
      </c>
      <c r="T68" t="e">
        <f>AND(Birds!EN40,"AAAAAA/p1xM=")</f>
        <v>#VALUE!</v>
      </c>
      <c r="U68" t="e">
        <f>AND(Birds!EO40,"AAAAAA/p1xQ=")</f>
        <v>#VALUE!</v>
      </c>
      <c r="V68" t="e">
        <f>AND(Birds!EP40,"AAAAAA/p1xU=")</f>
        <v>#VALUE!</v>
      </c>
      <c r="W68" t="e">
        <f>AND(Birds!EQ40,"AAAAAA/p1xY=")</f>
        <v>#VALUE!</v>
      </c>
      <c r="X68" t="e">
        <f>AND(Birds!ER40,"AAAAAA/p1xc=")</f>
        <v>#VALUE!</v>
      </c>
      <c r="Y68" t="e">
        <f>AND(Birds!ES40,"AAAAAA/p1xg=")</f>
        <v>#VALUE!</v>
      </c>
      <c r="Z68" t="e">
        <f>AND(Birds!ET40,"AAAAAA/p1xk=")</f>
        <v>#VALUE!</v>
      </c>
      <c r="AA68" t="e">
        <f>AND(Birds!EU40,"AAAAAA/p1xo=")</f>
        <v>#VALUE!</v>
      </c>
      <c r="AB68" t="e">
        <f>AND(Birds!EV40,"AAAAAA/p1xs=")</f>
        <v>#VALUE!</v>
      </c>
      <c r="AC68" t="e">
        <f>AND(Birds!EW40,"AAAAAA/p1xw=")</f>
        <v>#VALUE!</v>
      </c>
      <c r="AD68" t="e">
        <f>AND(Birds!EX40,"AAAAAA/p1x0=")</f>
        <v>#VALUE!</v>
      </c>
      <c r="AE68" t="e">
        <f>AND(Birds!EY40,"AAAAAA/p1x4=")</f>
        <v>#VALUE!</v>
      </c>
      <c r="AF68" t="e">
        <f>AND(Birds!EZ40,"AAAAAA/p1x8=")</f>
        <v>#VALUE!</v>
      </c>
      <c r="AG68" t="e">
        <f>AND(Birds!FA40,"AAAAAA/p1yA=")</f>
        <v>#VALUE!</v>
      </c>
      <c r="AH68" t="e">
        <f>AND(Birds!FB40,"AAAAAA/p1yE=")</f>
        <v>#VALUE!</v>
      </c>
      <c r="AI68" t="e">
        <f>AND(Birds!FC40,"AAAAAA/p1yI=")</f>
        <v>#VALUE!</v>
      </c>
      <c r="AJ68" t="e">
        <f>AND(Birds!FD40,"AAAAAA/p1yM=")</f>
        <v>#VALUE!</v>
      </c>
      <c r="AK68" t="e">
        <f>AND(Birds!FE40,"AAAAAA/p1yQ=")</f>
        <v>#VALUE!</v>
      </c>
      <c r="AL68" t="e">
        <f>AND(Birds!FF40,"AAAAAA/p1yU=")</f>
        <v>#VALUE!</v>
      </c>
      <c r="AM68" t="e">
        <f>AND(Birds!FG40,"AAAAAA/p1yY=")</f>
        <v>#VALUE!</v>
      </c>
      <c r="AN68" t="e">
        <f>AND(Birds!FH40,"AAAAAA/p1yc=")</f>
        <v>#VALUE!</v>
      </c>
      <c r="AO68" t="e">
        <f>AND(Birds!FI40,"AAAAAA/p1yg=")</f>
        <v>#VALUE!</v>
      </c>
      <c r="AP68" t="e">
        <f>AND(Birds!FJ40,"AAAAAA/p1yk=")</f>
        <v>#VALUE!</v>
      </c>
      <c r="AQ68" t="e">
        <f>AND(Birds!FK40,"AAAAAA/p1yo=")</f>
        <v>#VALUE!</v>
      </c>
      <c r="AR68" t="e">
        <f>AND(Birds!FL40,"AAAAAA/p1ys=")</f>
        <v>#VALUE!</v>
      </c>
      <c r="AS68" t="e">
        <f>AND(Birds!FM40,"AAAAAA/p1yw=")</f>
        <v>#VALUE!</v>
      </c>
      <c r="AT68" t="e">
        <f>AND(Birds!FN40,"AAAAAA/p1y0=")</f>
        <v>#VALUE!</v>
      </c>
      <c r="AU68" t="e">
        <f>AND(Birds!FO40,"AAAAAA/p1y4=")</f>
        <v>#VALUE!</v>
      </c>
      <c r="AV68" t="e">
        <f>AND(Birds!FP40,"AAAAAA/p1y8=")</f>
        <v>#VALUE!</v>
      </c>
      <c r="AW68" t="e">
        <f>AND(Birds!FQ40,"AAAAAA/p1zA=")</f>
        <v>#VALUE!</v>
      </c>
      <c r="AX68" t="e">
        <f>AND(Birds!FR40,"AAAAAA/p1zE=")</f>
        <v>#VALUE!</v>
      </c>
      <c r="AY68" t="e">
        <f>AND(Birds!FS40,"AAAAAA/p1zI=")</f>
        <v>#VALUE!</v>
      </c>
      <c r="AZ68" t="e">
        <f>AND(Birds!FT40,"AAAAAA/p1zM=")</f>
        <v>#VALUE!</v>
      </c>
      <c r="BA68" t="e">
        <f>AND(Birds!FU40,"AAAAAA/p1zQ=")</f>
        <v>#VALUE!</v>
      </c>
      <c r="BB68" t="e">
        <f>AND(Birds!FV40,"AAAAAA/p1zU=")</f>
        <v>#VALUE!</v>
      </c>
      <c r="BC68" t="e">
        <f>AND(Birds!FW40,"AAAAAA/p1zY=")</f>
        <v>#VALUE!</v>
      </c>
      <c r="BD68" t="e">
        <f>AND(Birds!FX40,"AAAAAA/p1zc=")</f>
        <v>#VALUE!</v>
      </c>
      <c r="BE68" t="e">
        <f>AND(Birds!FY40,"AAAAAA/p1zg=")</f>
        <v>#VALUE!</v>
      </c>
      <c r="BF68" t="e">
        <f>AND(Birds!FZ40,"AAAAAA/p1zk=")</f>
        <v>#VALUE!</v>
      </c>
      <c r="BG68" t="e">
        <f>AND(Birds!GA40,"AAAAAA/p1zo=")</f>
        <v>#VALUE!</v>
      </c>
      <c r="BH68" t="e">
        <f>AND(Birds!GB40,"AAAAAA/p1zs=")</f>
        <v>#VALUE!</v>
      </c>
      <c r="BI68" t="e">
        <f>AND(Birds!GC40,"AAAAAA/p1zw=")</f>
        <v>#VALUE!</v>
      </c>
      <c r="BJ68" t="e">
        <f>AND(Birds!GD40,"AAAAAA/p1z0=")</f>
        <v>#VALUE!</v>
      </c>
      <c r="BK68" t="e">
        <f>AND(Birds!GE40,"AAAAAA/p1z4=")</f>
        <v>#VALUE!</v>
      </c>
      <c r="BL68" t="e">
        <f>AND(Birds!GF40,"AAAAAA/p1z8=")</f>
        <v>#VALUE!</v>
      </c>
      <c r="BM68" t="e">
        <f>AND(Birds!GG40,"AAAAAA/p10A=")</f>
        <v>#VALUE!</v>
      </c>
      <c r="BN68" t="e">
        <f>AND(Birds!GH40,"AAAAAA/p10E=")</f>
        <v>#VALUE!</v>
      </c>
      <c r="BO68" t="e">
        <f>AND(Birds!GI40,"AAAAAA/p10I=")</f>
        <v>#VALUE!</v>
      </c>
      <c r="BP68" t="e">
        <f>AND(Birds!GJ40,"AAAAAA/p10M=")</f>
        <v>#VALUE!</v>
      </c>
      <c r="BQ68" t="e">
        <f>AND(Birds!GK40,"AAAAAA/p10Q=")</f>
        <v>#VALUE!</v>
      </c>
      <c r="BR68" t="e">
        <f>AND(Birds!GL40,"AAAAAA/p10U=")</f>
        <v>#VALUE!</v>
      </c>
      <c r="BS68" t="e">
        <f>AND(Birds!GM40,"AAAAAA/p10Y=")</f>
        <v>#VALUE!</v>
      </c>
      <c r="BT68">
        <f>IF(Birds!41:41,"AAAAAA/p10c=",0)</f>
        <v>0</v>
      </c>
      <c r="BU68" t="e">
        <f>AND(Birds!A41,"AAAAAA/p10g=")</f>
        <v>#VALUE!</v>
      </c>
      <c r="BV68" t="e">
        <f>AND(Birds!B41,"AAAAAA/p10k=")</f>
        <v>#VALUE!</v>
      </c>
      <c r="BW68" t="e">
        <f>AND(Birds!C41,"AAAAAA/p10o=")</f>
        <v>#VALUE!</v>
      </c>
      <c r="BX68" t="e">
        <f>AND(Birds!D41,"AAAAAA/p10s=")</f>
        <v>#VALUE!</v>
      </c>
      <c r="BY68" t="e">
        <f>AND(Birds!E41,"AAAAAA/p10w=")</f>
        <v>#VALUE!</v>
      </c>
      <c r="BZ68" t="e">
        <f>AND(Birds!F41,"AAAAAA/p100=")</f>
        <v>#VALUE!</v>
      </c>
      <c r="CA68" t="e">
        <f>AND(Birds!G41,"AAAAAA/p104=")</f>
        <v>#VALUE!</v>
      </c>
      <c r="CB68" t="e">
        <f>AND(Birds!H41,"AAAAAA/p108=")</f>
        <v>#VALUE!</v>
      </c>
      <c r="CC68" t="e">
        <f>AND(Birds!I41,"AAAAAA/p11A=")</f>
        <v>#VALUE!</v>
      </c>
      <c r="CD68" t="e">
        <f>AND(Birds!J41,"AAAAAA/p11E=")</f>
        <v>#VALUE!</v>
      </c>
      <c r="CE68" t="e">
        <f>AND(Birds!K41,"AAAAAA/p11I=")</f>
        <v>#VALUE!</v>
      </c>
      <c r="CF68" t="e">
        <f>AND(Birds!L41,"AAAAAA/p11M=")</f>
        <v>#VALUE!</v>
      </c>
      <c r="CG68" t="e">
        <f>AND(Birds!M41,"AAAAAA/p11Q=")</f>
        <v>#VALUE!</v>
      </c>
      <c r="CH68" t="e">
        <f>AND(Birds!N41,"AAAAAA/p11U=")</f>
        <v>#VALUE!</v>
      </c>
      <c r="CI68" t="e">
        <f>AND(Birds!O41,"AAAAAA/p11Y=")</f>
        <v>#VALUE!</v>
      </c>
      <c r="CJ68" t="e">
        <f>AND(Birds!P41,"AAAAAA/p11c=")</f>
        <v>#VALUE!</v>
      </c>
      <c r="CK68" t="e">
        <f>AND(Birds!Q41,"AAAAAA/p11g=")</f>
        <v>#VALUE!</v>
      </c>
      <c r="CL68" t="e">
        <f>AND(Birds!R41,"AAAAAA/p11k=")</f>
        <v>#VALUE!</v>
      </c>
      <c r="CM68" t="e">
        <f>AND(Birds!S41,"AAAAAA/p11o=")</f>
        <v>#VALUE!</v>
      </c>
      <c r="CN68" t="e">
        <f>AND(Birds!T41,"AAAAAA/p11s=")</f>
        <v>#VALUE!</v>
      </c>
      <c r="CO68" t="e">
        <f>AND(Birds!U41,"AAAAAA/p11w=")</f>
        <v>#VALUE!</v>
      </c>
      <c r="CP68" t="e">
        <f>AND(Birds!V41,"AAAAAA/p110=")</f>
        <v>#VALUE!</v>
      </c>
      <c r="CQ68" t="e">
        <f>AND(Birds!W41,"AAAAAA/p114=")</f>
        <v>#VALUE!</v>
      </c>
      <c r="CR68" t="e">
        <f>AND(Birds!X41,"AAAAAA/p118=")</f>
        <v>#VALUE!</v>
      </c>
      <c r="CS68" t="e">
        <f>AND(Birds!Y41,"AAAAAA/p12A=")</f>
        <v>#VALUE!</v>
      </c>
      <c r="CT68" t="e">
        <f>AND(Birds!Z41,"AAAAAA/p12E=")</f>
        <v>#VALUE!</v>
      </c>
      <c r="CU68" t="e">
        <f>AND(Birds!AA41,"AAAAAA/p12I=")</f>
        <v>#VALUE!</v>
      </c>
      <c r="CV68" t="e">
        <f>AND(Birds!AB41,"AAAAAA/p12M=")</f>
        <v>#VALUE!</v>
      </c>
      <c r="CW68" t="e">
        <f>AND(Birds!AC41,"AAAAAA/p12Q=")</f>
        <v>#VALUE!</v>
      </c>
      <c r="CX68" t="e">
        <f>AND(Birds!AD41,"AAAAAA/p12U=")</f>
        <v>#VALUE!</v>
      </c>
      <c r="CY68" t="e">
        <f>AND(Birds!AE41,"AAAAAA/p12Y=")</f>
        <v>#VALUE!</v>
      </c>
      <c r="CZ68" t="e">
        <f>AND(Birds!AF41,"AAAAAA/p12c=")</f>
        <v>#VALUE!</v>
      </c>
      <c r="DA68" t="e">
        <f>AND(Birds!AG41,"AAAAAA/p12g=")</f>
        <v>#VALUE!</v>
      </c>
      <c r="DB68" t="e">
        <f>AND(Birds!AH41,"AAAAAA/p12k=")</f>
        <v>#VALUE!</v>
      </c>
      <c r="DC68" t="e">
        <f>AND(Birds!AI41,"AAAAAA/p12o=")</f>
        <v>#VALUE!</v>
      </c>
      <c r="DD68" t="e">
        <f>AND(Birds!AJ41,"AAAAAA/p12s=")</f>
        <v>#VALUE!</v>
      </c>
      <c r="DE68" t="e">
        <f>AND(Birds!AK41,"AAAAAA/p12w=")</f>
        <v>#VALUE!</v>
      </c>
      <c r="DF68" t="e">
        <f>AND(Birds!AL41,"AAAAAA/p120=")</f>
        <v>#VALUE!</v>
      </c>
      <c r="DG68" t="e">
        <f>AND(Birds!AM41,"AAAAAA/p124=")</f>
        <v>#VALUE!</v>
      </c>
      <c r="DH68" t="e">
        <f>AND(Birds!AN41,"AAAAAA/p128=")</f>
        <v>#VALUE!</v>
      </c>
      <c r="DI68" t="e">
        <f>AND(Birds!AO41,"AAAAAA/p13A=")</f>
        <v>#VALUE!</v>
      </c>
      <c r="DJ68" t="e">
        <f>AND(Birds!AP41,"AAAAAA/p13E=")</f>
        <v>#VALUE!</v>
      </c>
      <c r="DK68" t="e">
        <f>AND(Birds!AQ41,"AAAAAA/p13I=")</f>
        <v>#VALUE!</v>
      </c>
      <c r="DL68" t="e">
        <f>AND(Birds!AR41,"AAAAAA/p13M=")</f>
        <v>#VALUE!</v>
      </c>
      <c r="DM68" t="e">
        <f>AND(Birds!AS41,"AAAAAA/p13Q=")</f>
        <v>#VALUE!</v>
      </c>
      <c r="DN68" t="e">
        <f>AND(Birds!AT41,"AAAAAA/p13U=")</f>
        <v>#VALUE!</v>
      </c>
      <c r="DO68" t="e">
        <f>AND(Birds!AU41,"AAAAAA/p13Y=")</f>
        <v>#VALUE!</v>
      </c>
      <c r="DP68" t="e">
        <f>AND(Birds!AV41,"AAAAAA/p13c=")</f>
        <v>#VALUE!</v>
      </c>
      <c r="DQ68" t="e">
        <f>AND(Birds!AW41,"AAAAAA/p13g=")</f>
        <v>#VALUE!</v>
      </c>
      <c r="DR68" t="e">
        <f>AND(Birds!AX41,"AAAAAA/p13k=")</f>
        <v>#VALUE!</v>
      </c>
      <c r="DS68" t="e">
        <f>AND(Birds!AY41,"AAAAAA/p13o=")</f>
        <v>#VALUE!</v>
      </c>
      <c r="DT68" t="e">
        <f>AND(Birds!AZ41,"AAAAAA/p13s=")</f>
        <v>#VALUE!</v>
      </c>
      <c r="DU68" t="e">
        <f>AND(Birds!BA41,"AAAAAA/p13w=")</f>
        <v>#VALUE!</v>
      </c>
      <c r="DV68" t="e">
        <f>AND(Birds!BB41,"AAAAAA/p130=")</f>
        <v>#VALUE!</v>
      </c>
      <c r="DW68" t="e">
        <f>AND(Birds!BC41,"AAAAAA/p134=")</f>
        <v>#VALUE!</v>
      </c>
      <c r="DX68" t="e">
        <f>AND(Birds!BD41,"AAAAAA/p138=")</f>
        <v>#VALUE!</v>
      </c>
      <c r="DY68" t="e">
        <f>AND(Birds!BE41,"AAAAAA/p14A=")</f>
        <v>#VALUE!</v>
      </c>
      <c r="DZ68" t="e">
        <f>AND(Birds!BF41,"AAAAAA/p14E=")</f>
        <v>#VALUE!</v>
      </c>
      <c r="EA68" t="e">
        <f>AND(Birds!BG41,"AAAAAA/p14I=")</f>
        <v>#VALUE!</v>
      </c>
      <c r="EB68" t="e">
        <f>AND(Birds!BH41,"AAAAAA/p14M=")</f>
        <v>#VALUE!</v>
      </c>
      <c r="EC68" t="e">
        <f>AND(Birds!BI41,"AAAAAA/p14Q=")</f>
        <v>#VALUE!</v>
      </c>
      <c r="ED68" t="e">
        <f>AND(Birds!BJ41,"AAAAAA/p14U=")</f>
        <v>#VALUE!</v>
      </c>
      <c r="EE68" t="e">
        <f>AND(Birds!BK41,"AAAAAA/p14Y=")</f>
        <v>#VALUE!</v>
      </c>
      <c r="EF68" t="e">
        <f>AND(Birds!BL41,"AAAAAA/p14c=")</f>
        <v>#VALUE!</v>
      </c>
      <c r="EG68" t="e">
        <f>AND(Birds!BM41,"AAAAAA/p14g=")</f>
        <v>#VALUE!</v>
      </c>
      <c r="EH68" t="e">
        <f>AND(Birds!BN41,"AAAAAA/p14k=")</f>
        <v>#VALUE!</v>
      </c>
      <c r="EI68" t="e">
        <f>AND(Birds!BO41,"AAAAAA/p14o=")</f>
        <v>#VALUE!</v>
      </c>
      <c r="EJ68" t="e">
        <f>AND(Birds!BP41,"AAAAAA/p14s=")</f>
        <v>#VALUE!</v>
      </c>
      <c r="EK68" t="e">
        <f>AND(Birds!BQ41,"AAAAAA/p14w=")</f>
        <v>#VALUE!</v>
      </c>
      <c r="EL68" t="e">
        <f>AND(Birds!BR41,"AAAAAA/p140=")</f>
        <v>#VALUE!</v>
      </c>
      <c r="EM68" t="e">
        <f>AND(Birds!BS41,"AAAAAA/p144=")</f>
        <v>#VALUE!</v>
      </c>
      <c r="EN68" t="e">
        <f>AND(Birds!BT41,"AAAAAA/p148=")</f>
        <v>#VALUE!</v>
      </c>
      <c r="EO68" t="e">
        <f>AND(Birds!BU41,"AAAAAA/p15A=")</f>
        <v>#VALUE!</v>
      </c>
      <c r="EP68" t="e">
        <f>AND(Birds!BV41,"AAAAAA/p15E=")</f>
        <v>#VALUE!</v>
      </c>
      <c r="EQ68" t="e">
        <f>AND(Birds!BW41,"AAAAAA/p15I=")</f>
        <v>#VALUE!</v>
      </c>
      <c r="ER68" t="e">
        <f>AND(Birds!BX41,"AAAAAA/p15M=")</f>
        <v>#VALUE!</v>
      </c>
      <c r="ES68" t="e">
        <f>AND(Birds!BY41,"AAAAAA/p15Q=")</f>
        <v>#VALUE!</v>
      </c>
      <c r="ET68" t="e">
        <f>AND(Birds!BZ41,"AAAAAA/p15U=")</f>
        <v>#VALUE!</v>
      </c>
      <c r="EU68" t="e">
        <f>AND(Birds!CA41,"AAAAAA/p15Y=")</f>
        <v>#VALUE!</v>
      </c>
      <c r="EV68" t="e">
        <f>AND(Birds!CB41,"AAAAAA/p15c=")</f>
        <v>#VALUE!</v>
      </c>
      <c r="EW68" t="e">
        <f>AND(Birds!CC41,"AAAAAA/p15g=")</f>
        <v>#VALUE!</v>
      </c>
      <c r="EX68" t="e">
        <f>AND(Birds!CD41,"AAAAAA/p15k=")</f>
        <v>#VALUE!</v>
      </c>
      <c r="EY68" t="e">
        <f>AND(Birds!CE41,"AAAAAA/p15o=")</f>
        <v>#VALUE!</v>
      </c>
      <c r="EZ68" t="e">
        <f>AND(Birds!CF41,"AAAAAA/p15s=")</f>
        <v>#VALUE!</v>
      </c>
      <c r="FA68" t="e">
        <f>AND(Birds!CG41,"AAAAAA/p15w=")</f>
        <v>#VALUE!</v>
      </c>
      <c r="FB68" t="e">
        <f>AND(Birds!CH41,"AAAAAA/p150=")</f>
        <v>#VALUE!</v>
      </c>
      <c r="FC68" t="e">
        <f>AND(Birds!CI41,"AAAAAA/p154=")</f>
        <v>#VALUE!</v>
      </c>
      <c r="FD68" t="e">
        <f>AND(Birds!CJ41,"AAAAAA/p158=")</f>
        <v>#VALUE!</v>
      </c>
      <c r="FE68" t="e">
        <f>AND(Birds!CK41,"AAAAAA/p16A=")</f>
        <v>#VALUE!</v>
      </c>
      <c r="FF68" t="e">
        <f>AND(Birds!CL41,"AAAAAA/p16E=")</f>
        <v>#VALUE!</v>
      </c>
      <c r="FG68" t="e">
        <f>AND(Birds!CM41,"AAAAAA/p16I=")</f>
        <v>#VALUE!</v>
      </c>
      <c r="FH68" t="e">
        <f>AND(Birds!CN41,"AAAAAA/p16M=")</f>
        <v>#VALUE!</v>
      </c>
      <c r="FI68" t="e">
        <f>AND(Birds!CO41,"AAAAAA/p16Q=")</f>
        <v>#VALUE!</v>
      </c>
      <c r="FJ68" t="e">
        <f>AND(Birds!CP41,"AAAAAA/p16U=")</f>
        <v>#VALUE!</v>
      </c>
      <c r="FK68" t="e">
        <f>AND(Birds!CQ41,"AAAAAA/p16Y=")</f>
        <v>#VALUE!</v>
      </c>
      <c r="FL68" t="e">
        <f>AND(Birds!CR41,"AAAAAA/p16c=")</f>
        <v>#VALUE!</v>
      </c>
      <c r="FM68" t="e">
        <f>AND(Birds!CS41,"AAAAAA/p16g=")</f>
        <v>#VALUE!</v>
      </c>
      <c r="FN68" t="e">
        <f>AND(Birds!CT41,"AAAAAA/p16k=")</f>
        <v>#VALUE!</v>
      </c>
      <c r="FO68" t="e">
        <f>AND(Birds!CU41,"AAAAAA/p16o=")</f>
        <v>#VALUE!</v>
      </c>
      <c r="FP68" t="e">
        <f>AND(Birds!CV41,"AAAAAA/p16s=")</f>
        <v>#VALUE!</v>
      </c>
      <c r="FQ68" t="e">
        <f>AND(Birds!CW41,"AAAAAA/p16w=")</f>
        <v>#VALUE!</v>
      </c>
      <c r="FR68" t="e">
        <f>AND(Birds!CX41,"AAAAAA/p160=")</f>
        <v>#VALUE!</v>
      </c>
      <c r="FS68" t="e">
        <f>AND(Birds!CY41,"AAAAAA/p164=")</f>
        <v>#VALUE!</v>
      </c>
      <c r="FT68" t="e">
        <f>AND(Birds!CZ41,"AAAAAA/p168=")</f>
        <v>#VALUE!</v>
      </c>
      <c r="FU68" t="e">
        <f>AND(Birds!DA41,"AAAAAA/p17A=")</f>
        <v>#VALUE!</v>
      </c>
      <c r="FV68" t="e">
        <f>AND(Birds!DB41,"AAAAAA/p17E=")</f>
        <v>#VALUE!</v>
      </c>
      <c r="FW68" t="e">
        <f>AND(Birds!DC41,"AAAAAA/p17I=")</f>
        <v>#VALUE!</v>
      </c>
      <c r="FX68" t="e">
        <f>AND(Birds!DD41,"AAAAAA/p17M=")</f>
        <v>#VALUE!</v>
      </c>
      <c r="FY68" t="e">
        <f>AND(Birds!DE41,"AAAAAA/p17Q=")</f>
        <v>#VALUE!</v>
      </c>
      <c r="FZ68" t="e">
        <f>AND(Birds!DF41,"AAAAAA/p17U=")</f>
        <v>#VALUE!</v>
      </c>
      <c r="GA68" t="e">
        <f>AND(Birds!DG41,"AAAAAA/p17Y=")</f>
        <v>#VALUE!</v>
      </c>
      <c r="GB68" t="e">
        <f>AND(Birds!DH41,"AAAAAA/p17c=")</f>
        <v>#VALUE!</v>
      </c>
      <c r="GC68" t="e">
        <f>AND(Birds!DI41,"AAAAAA/p17g=")</f>
        <v>#VALUE!</v>
      </c>
      <c r="GD68" t="e">
        <f>AND(Birds!DJ41,"AAAAAA/p17k=")</f>
        <v>#VALUE!</v>
      </c>
      <c r="GE68" t="e">
        <f>AND(Birds!DK41,"AAAAAA/p17o=")</f>
        <v>#VALUE!</v>
      </c>
      <c r="GF68" t="e">
        <f>AND(Birds!DL41,"AAAAAA/p17s=")</f>
        <v>#VALUE!</v>
      </c>
      <c r="GG68" t="e">
        <f>AND(Birds!DM41,"AAAAAA/p17w=")</f>
        <v>#VALUE!</v>
      </c>
      <c r="GH68" t="e">
        <f>AND(Birds!DN41,"AAAAAA/p170=")</f>
        <v>#VALUE!</v>
      </c>
      <c r="GI68" t="e">
        <f>AND(Birds!DO41,"AAAAAA/p174=")</f>
        <v>#VALUE!</v>
      </c>
      <c r="GJ68" t="e">
        <f>AND(Birds!DP41,"AAAAAA/p178=")</f>
        <v>#VALUE!</v>
      </c>
      <c r="GK68" t="e">
        <f>AND(Birds!DQ41,"AAAAAA/p18A=")</f>
        <v>#VALUE!</v>
      </c>
      <c r="GL68" t="e">
        <f>AND(Birds!DR41,"AAAAAA/p18E=")</f>
        <v>#VALUE!</v>
      </c>
      <c r="GM68" t="e">
        <f>AND(Birds!DS41,"AAAAAA/p18I=")</f>
        <v>#VALUE!</v>
      </c>
      <c r="GN68" t="e">
        <f>AND(Birds!DT41,"AAAAAA/p18M=")</f>
        <v>#VALUE!</v>
      </c>
      <c r="GO68" t="e">
        <f>AND(Birds!DU41,"AAAAAA/p18Q=")</f>
        <v>#VALUE!</v>
      </c>
      <c r="GP68" t="e">
        <f>AND(Birds!DV41,"AAAAAA/p18U=")</f>
        <v>#VALUE!</v>
      </c>
      <c r="GQ68" t="e">
        <f>AND(Birds!DW41,"AAAAAA/p18Y=")</f>
        <v>#VALUE!</v>
      </c>
      <c r="GR68" t="e">
        <f>AND(Birds!DX41,"AAAAAA/p18c=")</f>
        <v>#VALUE!</v>
      </c>
      <c r="GS68" t="e">
        <f>AND(Birds!DY41,"AAAAAA/p18g=")</f>
        <v>#VALUE!</v>
      </c>
      <c r="GT68" t="e">
        <f>AND(Birds!DZ41,"AAAAAA/p18k=")</f>
        <v>#VALUE!</v>
      </c>
      <c r="GU68" t="e">
        <f>AND(Birds!EA41,"AAAAAA/p18o=")</f>
        <v>#VALUE!</v>
      </c>
      <c r="GV68" t="e">
        <f>AND(Birds!EB41,"AAAAAA/p18s=")</f>
        <v>#VALUE!</v>
      </c>
      <c r="GW68" t="e">
        <f>AND(Birds!EC41,"AAAAAA/p18w=")</f>
        <v>#VALUE!</v>
      </c>
      <c r="GX68" t="e">
        <f>AND(Birds!ED41,"AAAAAA/p180=")</f>
        <v>#VALUE!</v>
      </c>
      <c r="GY68" t="e">
        <f>AND(Birds!EE41,"AAAAAA/p184=")</f>
        <v>#VALUE!</v>
      </c>
      <c r="GZ68" t="e">
        <f>AND(Birds!EF41,"AAAAAA/p188=")</f>
        <v>#VALUE!</v>
      </c>
      <c r="HA68" t="e">
        <f>AND(Birds!EG41,"AAAAAA/p19A=")</f>
        <v>#VALUE!</v>
      </c>
      <c r="HB68" t="e">
        <f>AND(Birds!EH41,"AAAAAA/p19E=")</f>
        <v>#VALUE!</v>
      </c>
      <c r="HC68" t="e">
        <f>AND(Birds!EI41,"AAAAAA/p19I=")</f>
        <v>#VALUE!</v>
      </c>
      <c r="HD68" t="e">
        <f>AND(Birds!EJ41,"AAAAAA/p19M=")</f>
        <v>#VALUE!</v>
      </c>
      <c r="HE68" t="e">
        <f>AND(Birds!EK41,"AAAAAA/p19Q=")</f>
        <v>#VALUE!</v>
      </c>
      <c r="HF68" t="e">
        <f>AND(Birds!EL41,"AAAAAA/p19U=")</f>
        <v>#VALUE!</v>
      </c>
      <c r="HG68" t="e">
        <f>AND(Birds!EM41,"AAAAAA/p19Y=")</f>
        <v>#VALUE!</v>
      </c>
      <c r="HH68" t="e">
        <f>AND(Birds!EN41,"AAAAAA/p19c=")</f>
        <v>#VALUE!</v>
      </c>
      <c r="HI68" t="e">
        <f>AND(Birds!EO41,"AAAAAA/p19g=")</f>
        <v>#VALUE!</v>
      </c>
      <c r="HJ68" t="e">
        <f>AND(Birds!EP41,"AAAAAA/p19k=")</f>
        <v>#VALUE!</v>
      </c>
      <c r="HK68" t="e">
        <f>AND(Birds!EQ41,"AAAAAA/p19o=")</f>
        <v>#VALUE!</v>
      </c>
      <c r="HL68" t="e">
        <f>AND(Birds!ER41,"AAAAAA/p19s=")</f>
        <v>#VALUE!</v>
      </c>
      <c r="HM68" t="e">
        <f>AND(Birds!ES41,"AAAAAA/p19w=")</f>
        <v>#VALUE!</v>
      </c>
      <c r="HN68" t="e">
        <f>AND(Birds!ET41,"AAAAAA/p190=")</f>
        <v>#VALUE!</v>
      </c>
      <c r="HO68" t="e">
        <f>AND(Birds!EU41,"AAAAAA/p194=")</f>
        <v>#VALUE!</v>
      </c>
      <c r="HP68" t="e">
        <f>AND(Birds!EV41,"AAAAAA/p198=")</f>
        <v>#VALUE!</v>
      </c>
      <c r="HQ68" t="e">
        <f>AND(Birds!EW41,"AAAAAA/p1+A=")</f>
        <v>#VALUE!</v>
      </c>
      <c r="HR68" t="e">
        <f>AND(Birds!EX41,"AAAAAA/p1+E=")</f>
        <v>#VALUE!</v>
      </c>
      <c r="HS68" t="e">
        <f>AND(Birds!EY41,"AAAAAA/p1+I=")</f>
        <v>#VALUE!</v>
      </c>
      <c r="HT68" t="e">
        <f>AND(Birds!EZ41,"AAAAAA/p1+M=")</f>
        <v>#VALUE!</v>
      </c>
      <c r="HU68" t="e">
        <f>AND(Birds!FA41,"AAAAAA/p1+Q=")</f>
        <v>#VALUE!</v>
      </c>
      <c r="HV68" t="e">
        <f>AND(Birds!FB41,"AAAAAA/p1+U=")</f>
        <v>#VALUE!</v>
      </c>
      <c r="HW68" t="e">
        <f>AND(Birds!FC41,"AAAAAA/p1+Y=")</f>
        <v>#VALUE!</v>
      </c>
      <c r="HX68" t="e">
        <f>AND(Birds!FD41,"AAAAAA/p1+c=")</f>
        <v>#VALUE!</v>
      </c>
      <c r="HY68" t="e">
        <f>AND(Birds!FE41,"AAAAAA/p1+g=")</f>
        <v>#VALUE!</v>
      </c>
      <c r="HZ68" t="e">
        <f>AND(Birds!FF41,"AAAAAA/p1+k=")</f>
        <v>#VALUE!</v>
      </c>
      <c r="IA68" t="e">
        <f>AND(Birds!FG41,"AAAAAA/p1+o=")</f>
        <v>#VALUE!</v>
      </c>
      <c r="IB68" t="e">
        <f>AND(Birds!FH41,"AAAAAA/p1+s=")</f>
        <v>#VALUE!</v>
      </c>
      <c r="IC68" t="e">
        <f>AND(Birds!FI41,"AAAAAA/p1+w=")</f>
        <v>#VALUE!</v>
      </c>
      <c r="ID68" t="e">
        <f>AND(Birds!FJ41,"AAAAAA/p1+0=")</f>
        <v>#VALUE!</v>
      </c>
      <c r="IE68" t="e">
        <f>AND(Birds!FK41,"AAAAAA/p1+4=")</f>
        <v>#VALUE!</v>
      </c>
      <c r="IF68" t="e">
        <f>AND(Birds!FL41,"AAAAAA/p1+8=")</f>
        <v>#VALUE!</v>
      </c>
      <c r="IG68" t="e">
        <f>AND(Birds!FM41,"AAAAAA/p1/A=")</f>
        <v>#VALUE!</v>
      </c>
      <c r="IH68" t="e">
        <f>AND(Birds!FN41,"AAAAAA/p1/E=")</f>
        <v>#VALUE!</v>
      </c>
      <c r="II68" t="e">
        <f>AND(Birds!FO41,"AAAAAA/p1/I=")</f>
        <v>#VALUE!</v>
      </c>
      <c r="IJ68" t="e">
        <f>AND(Birds!FP41,"AAAAAA/p1/M=")</f>
        <v>#VALUE!</v>
      </c>
      <c r="IK68" t="e">
        <f>AND(Birds!FQ41,"AAAAAA/p1/Q=")</f>
        <v>#VALUE!</v>
      </c>
      <c r="IL68" t="e">
        <f>AND(Birds!FR41,"AAAAAA/p1/U=")</f>
        <v>#VALUE!</v>
      </c>
      <c r="IM68" t="e">
        <f>AND(Birds!FS41,"AAAAAA/p1/Y=")</f>
        <v>#VALUE!</v>
      </c>
      <c r="IN68" t="e">
        <f>AND(Birds!FT41,"AAAAAA/p1/c=")</f>
        <v>#VALUE!</v>
      </c>
      <c r="IO68" t="e">
        <f>AND(Birds!FU41,"AAAAAA/p1/g=")</f>
        <v>#VALUE!</v>
      </c>
      <c r="IP68" t="e">
        <f>AND(Birds!FV41,"AAAAAA/p1/k=")</f>
        <v>#VALUE!</v>
      </c>
      <c r="IQ68" t="e">
        <f>AND(Birds!FW41,"AAAAAA/p1/o=")</f>
        <v>#VALUE!</v>
      </c>
      <c r="IR68" t="e">
        <f>AND(Birds!FX41,"AAAAAA/p1/s=")</f>
        <v>#VALUE!</v>
      </c>
      <c r="IS68" t="e">
        <f>AND(Birds!FY41,"AAAAAA/p1/w=")</f>
        <v>#VALUE!</v>
      </c>
      <c r="IT68" t="e">
        <f>AND(Birds!FZ41,"AAAAAA/p1/0=")</f>
        <v>#VALUE!</v>
      </c>
      <c r="IU68" t="e">
        <f>AND(Birds!GA41,"AAAAAA/p1/4=")</f>
        <v>#VALUE!</v>
      </c>
      <c r="IV68" t="e">
        <f>AND(Birds!GB41,"AAAAAA/p1/8=")</f>
        <v>#VALUE!</v>
      </c>
    </row>
    <row r="69" spans="1:256">
      <c r="A69" t="e">
        <f>AND(Birds!GC41,"AAAAAHPuvwA=")</f>
        <v>#VALUE!</v>
      </c>
      <c r="B69" t="e">
        <f>AND(Birds!GD41,"AAAAAHPuvwE=")</f>
        <v>#VALUE!</v>
      </c>
      <c r="C69" t="e">
        <f>AND(Birds!GE41,"AAAAAHPuvwI=")</f>
        <v>#VALUE!</v>
      </c>
      <c r="D69" t="e">
        <f>AND(Birds!GF41,"AAAAAHPuvwM=")</f>
        <v>#VALUE!</v>
      </c>
      <c r="E69" t="e">
        <f>AND(Birds!GG41,"AAAAAHPuvwQ=")</f>
        <v>#VALUE!</v>
      </c>
      <c r="F69" t="e">
        <f>AND(Birds!GH41,"AAAAAHPuvwU=")</f>
        <v>#VALUE!</v>
      </c>
      <c r="G69" t="e">
        <f>AND(Birds!GI41,"AAAAAHPuvwY=")</f>
        <v>#VALUE!</v>
      </c>
      <c r="H69" t="e">
        <f>AND(Birds!GJ41,"AAAAAHPuvwc=")</f>
        <v>#VALUE!</v>
      </c>
      <c r="I69" t="e">
        <f>AND(Birds!GK41,"AAAAAHPuvwg=")</f>
        <v>#VALUE!</v>
      </c>
      <c r="J69" t="e">
        <f>AND(Birds!GL41,"AAAAAHPuvwk=")</f>
        <v>#VALUE!</v>
      </c>
      <c r="K69" t="e">
        <f>AND(Birds!GM41,"AAAAAHPuvwo=")</f>
        <v>#VALUE!</v>
      </c>
      <c r="L69">
        <f>IF(Birds!42:42,"AAAAAHPuvws=",0)</f>
        <v>0</v>
      </c>
      <c r="M69" t="e">
        <f>AND(Birds!A42,"AAAAAHPuvww=")</f>
        <v>#VALUE!</v>
      </c>
      <c r="N69" t="e">
        <f>AND(Birds!B42,"AAAAAHPuvw0=")</f>
        <v>#VALUE!</v>
      </c>
      <c r="O69" t="e">
        <f>AND(Birds!C42,"AAAAAHPuvw4=")</f>
        <v>#VALUE!</v>
      </c>
      <c r="P69" t="e">
        <f>AND(Birds!D42,"AAAAAHPuvw8=")</f>
        <v>#VALUE!</v>
      </c>
      <c r="Q69" t="e">
        <f>AND(Birds!E42,"AAAAAHPuvxA=")</f>
        <v>#VALUE!</v>
      </c>
      <c r="R69" t="e">
        <f>AND(Birds!F42,"AAAAAHPuvxE=")</f>
        <v>#VALUE!</v>
      </c>
      <c r="S69" t="e">
        <f>AND(Birds!G42,"AAAAAHPuvxI=")</f>
        <v>#VALUE!</v>
      </c>
      <c r="T69" t="e">
        <f>AND(Birds!H42,"AAAAAHPuvxM=")</f>
        <v>#VALUE!</v>
      </c>
      <c r="U69" t="e">
        <f>AND(Birds!I42,"AAAAAHPuvxQ=")</f>
        <v>#VALUE!</v>
      </c>
      <c r="V69" t="e">
        <f>AND(Birds!J42,"AAAAAHPuvxU=")</f>
        <v>#VALUE!</v>
      </c>
      <c r="W69" t="e">
        <f>AND(Birds!K42,"AAAAAHPuvxY=")</f>
        <v>#VALUE!</v>
      </c>
      <c r="X69" t="e">
        <f>AND(Birds!L42,"AAAAAHPuvxc=")</f>
        <v>#VALUE!</v>
      </c>
      <c r="Y69" t="e">
        <f>AND(Birds!M42,"AAAAAHPuvxg=")</f>
        <v>#VALUE!</v>
      </c>
      <c r="Z69" t="e">
        <f>AND(Birds!N42,"AAAAAHPuvxk=")</f>
        <v>#VALUE!</v>
      </c>
      <c r="AA69" t="e">
        <f>AND(Birds!O42,"AAAAAHPuvxo=")</f>
        <v>#VALUE!</v>
      </c>
      <c r="AB69" t="e">
        <f>AND(Birds!P42,"AAAAAHPuvxs=")</f>
        <v>#VALUE!</v>
      </c>
      <c r="AC69" t="e">
        <f>AND(Birds!Q42,"AAAAAHPuvxw=")</f>
        <v>#VALUE!</v>
      </c>
      <c r="AD69" t="e">
        <f>AND(Birds!R42,"AAAAAHPuvx0=")</f>
        <v>#VALUE!</v>
      </c>
      <c r="AE69" t="e">
        <f>AND(Birds!S42,"AAAAAHPuvx4=")</f>
        <v>#VALUE!</v>
      </c>
      <c r="AF69" t="e">
        <f>AND(Birds!T42,"AAAAAHPuvx8=")</f>
        <v>#VALUE!</v>
      </c>
      <c r="AG69" t="e">
        <f>AND(Birds!U42,"AAAAAHPuvyA=")</f>
        <v>#VALUE!</v>
      </c>
      <c r="AH69" t="e">
        <f>AND(Birds!V42,"AAAAAHPuvyE=")</f>
        <v>#VALUE!</v>
      </c>
      <c r="AI69" t="e">
        <f>AND(Birds!W42,"AAAAAHPuvyI=")</f>
        <v>#VALUE!</v>
      </c>
      <c r="AJ69" t="e">
        <f>AND(Birds!X42,"AAAAAHPuvyM=")</f>
        <v>#VALUE!</v>
      </c>
      <c r="AK69" t="e">
        <f>AND(Birds!Y42,"AAAAAHPuvyQ=")</f>
        <v>#VALUE!</v>
      </c>
      <c r="AL69" t="e">
        <f>AND(Birds!Z42,"AAAAAHPuvyU=")</f>
        <v>#VALUE!</v>
      </c>
      <c r="AM69" t="e">
        <f>AND(Birds!AA42,"AAAAAHPuvyY=")</f>
        <v>#VALUE!</v>
      </c>
      <c r="AN69" t="e">
        <f>AND(Birds!AB42,"AAAAAHPuvyc=")</f>
        <v>#VALUE!</v>
      </c>
      <c r="AO69" t="e">
        <f>AND(Birds!AC42,"AAAAAHPuvyg=")</f>
        <v>#VALUE!</v>
      </c>
      <c r="AP69" t="e">
        <f>AND(Birds!AD42,"AAAAAHPuvyk=")</f>
        <v>#VALUE!</v>
      </c>
      <c r="AQ69" t="e">
        <f>AND(Birds!AE42,"AAAAAHPuvyo=")</f>
        <v>#VALUE!</v>
      </c>
      <c r="AR69" t="e">
        <f>AND(Birds!AF42,"AAAAAHPuvys=")</f>
        <v>#VALUE!</v>
      </c>
      <c r="AS69" t="e">
        <f>AND(Birds!AG42,"AAAAAHPuvyw=")</f>
        <v>#VALUE!</v>
      </c>
      <c r="AT69" t="e">
        <f>AND(Birds!AH42,"AAAAAHPuvy0=")</f>
        <v>#VALUE!</v>
      </c>
      <c r="AU69" t="e">
        <f>AND(Birds!AI42,"AAAAAHPuvy4=")</f>
        <v>#VALUE!</v>
      </c>
      <c r="AV69" t="e">
        <f>AND(Birds!AJ42,"AAAAAHPuvy8=")</f>
        <v>#VALUE!</v>
      </c>
      <c r="AW69" t="e">
        <f>AND(Birds!AK42,"AAAAAHPuvzA=")</f>
        <v>#VALUE!</v>
      </c>
      <c r="AX69" t="e">
        <f>AND(Birds!AL42,"AAAAAHPuvzE=")</f>
        <v>#VALUE!</v>
      </c>
      <c r="AY69" t="e">
        <f>AND(Birds!AM42,"AAAAAHPuvzI=")</f>
        <v>#VALUE!</v>
      </c>
      <c r="AZ69" t="e">
        <f>AND(Birds!AN42,"AAAAAHPuvzM=")</f>
        <v>#VALUE!</v>
      </c>
      <c r="BA69" t="e">
        <f>AND(Birds!AO42,"AAAAAHPuvzQ=")</f>
        <v>#VALUE!</v>
      </c>
      <c r="BB69" t="e">
        <f>AND(Birds!AP42,"AAAAAHPuvzU=")</f>
        <v>#VALUE!</v>
      </c>
      <c r="BC69" t="e">
        <f>AND(Birds!AQ42,"AAAAAHPuvzY=")</f>
        <v>#VALUE!</v>
      </c>
      <c r="BD69" t="e">
        <f>AND(Birds!AR42,"AAAAAHPuvzc=")</f>
        <v>#VALUE!</v>
      </c>
      <c r="BE69" t="e">
        <f>AND(Birds!AS42,"AAAAAHPuvzg=")</f>
        <v>#VALUE!</v>
      </c>
      <c r="BF69" t="e">
        <f>AND(Birds!AT42,"AAAAAHPuvzk=")</f>
        <v>#VALUE!</v>
      </c>
      <c r="BG69" t="e">
        <f>AND(Birds!AU42,"AAAAAHPuvzo=")</f>
        <v>#VALUE!</v>
      </c>
      <c r="BH69" t="e">
        <f>AND(Birds!AV42,"AAAAAHPuvzs=")</f>
        <v>#VALUE!</v>
      </c>
      <c r="BI69" t="e">
        <f>AND(Birds!AW42,"AAAAAHPuvzw=")</f>
        <v>#VALUE!</v>
      </c>
      <c r="BJ69" t="e">
        <f>AND(Birds!AX42,"AAAAAHPuvz0=")</f>
        <v>#VALUE!</v>
      </c>
      <c r="BK69" t="e">
        <f>AND(Birds!AY42,"AAAAAHPuvz4=")</f>
        <v>#VALUE!</v>
      </c>
      <c r="BL69" t="e">
        <f>AND(Birds!AZ42,"AAAAAHPuvz8=")</f>
        <v>#VALUE!</v>
      </c>
      <c r="BM69" t="e">
        <f>AND(Birds!BA42,"AAAAAHPuv0A=")</f>
        <v>#VALUE!</v>
      </c>
      <c r="BN69" t="e">
        <f>AND(Birds!BB42,"AAAAAHPuv0E=")</f>
        <v>#VALUE!</v>
      </c>
      <c r="BO69" t="e">
        <f>AND(Birds!BC42,"AAAAAHPuv0I=")</f>
        <v>#VALUE!</v>
      </c>
      <c r="BP69" t="e">
        <f>AND(Birds!BD42,"AAAAAHPuv0M=")</f>
        <v>#VALUE!</v>
      </c>
      <c r="BQ69" t="e">
        <f>AND(Birds!BE42,"AAAAAHPuv0Q=")</f>
        <v>#VALUE!</v>
      </c>
      <c r="BR69" t="e">
        <f>AND(Birds!BF42,"AAAAAHPuv0U=")</f>
        <v>#VALUE!</v>
      </c>
      <c r="BS69" t="e">
        <f>AND(Birds!BG42,"AAAAAHPuv0Y=")</f>
        <v>#VALUE!</v>
      </c>
      <c r="BT69" t="e">
        <f>AND(Birds!BH42,"AAAAAHPuv0c=")</f>
        <v>#VALUE!</v>
      </c>
      <c r="BU69" t="e">
        <f>AND(Birds!BI42,"AAAAAHPuv0g=")</f>
        <v>#VALUE!</v>
      </c>
      <c r="BV69" t="e">
        <f>AND(Birds!BJ42,"AAAAAHPuv0k=")</f>
        <v>#VALUE!</v>
      </c>
      <c r="BW69" t="e">
        <f>AND(Birds!BK42,"AAAAAHPuv0o=")</f>
        <v>#VALUE!</v>
      </c>
      <c r="BX69" t="e">
        <f>AND(Birds!BL42,"AAAAAHPuv0s=")</f>
        <v>#VALUE!</v>
      </c>
      <c r="BY69" t="e">
        <f>AND(Birds!BM42,"AAAAAHPuv0w=")</f>
        <v>#VALUE!</v>
      </c>
      <c r="BZ69" t="e">
        <f>AND(Birds!BN42,"AAAAAHPuv00=")</f>
        <v>#VALUE!</v>
      </c>
      <c r="CA69" t="e">
        <f>AND(Birds!BO42,"AAAAAHPuv04=")</f>
        <v>#VALUE!</v>
      </c>
      <c r="CB69" t="e">
        <f>AND(Birds!BP42,"AAAAAHPuv08=")</f>
        <v>#VALUE!</v>
      </c>
      <c r="CC69" t="e">
        <f>AND(Birds!BQ42,"AAAAAHPuv1A=")</f>
        <v>#VALUE!</v>
      </c>
      <c r="CD69" t="e">
        <f>AND(Birds!BR42,"AAAAAHPuv1E=")</f>
        <v>#VALUE!</v>
      </c>
      <c r="CE69" t="e">
        <f>AND(Birds!BS42,"AAAAAHPuv1I=")</f>
        <v>#VALUE!</v>
      </c>
      <c r="CF69" t="e">
        <f>AND(Birds!BT42,"AAAAAHPuv1M=")</f>
        <v>#VALUE!</v>
      </c>
      <c r="CG69" t="e">
        <f>AND(Birds!BU42,"AAAAAHPuv1Q=")</f>
        <v>#VALUE!</v>
      </c>
      <c r="CH69" t="e">
        <f>AND(Birds!BV42,"AAAAAHPuv1U=")</f>
        <v>#VALUE!</v>
      </c>
      <c r="CI69" t="e">
        <f>AND(Birds!BW42,"AAAAAHPuv1Y=")</f>
        <v>#VALUE!</v>
      </c>
      <c r="CJ69" t="e">
        <f>AND(Birds!BX42,"AAAAAHPuv1c=")</f>
        <v>#VALUE!</v>
      </c>
      <c r="CK69" t="e">
        <f>AND(Birds!BY42,"AAAAAHPuv1g=")</f>
        <v>#VALUE!</v>
      </c>
      <c r="CL69" t="e">
        <f>AND(Birds!BZ42,"AAAAAHPuv1k=")</f>
        <v>#VALUE!</v>
      </c>
      <c r="CM69" t="e">
        <f>AND(Birds!CA42,"AAAAAHPuv1o=")</f>
        <v>#VALUE!</v>
      </c>
      <c r="CN69" t="e">
        <f>AND(Birds!CB42,"AAAAAHPuv1s=")</f>
        <v>#VALUE!</v>
      </c>
      <c r="CO69" t="e">
        <f>AND(Birds!CC42,"AAAAAHPuv1w=")</f>
        <v>#VALUE!</v>
      </c>
      <c r="CP69" t="e">
        <f>AND(Birds!CD42,"AAAAAHPuv10=")</f>
        <v>#VALUE!</v>
      </c>
      <c r="CQ69" t="e">
        <f>AND(Birds!CE42,"AAAAAHPuv14=")</f>
        <v>#VALUE!</v>
      </c>
      <c r="CR69" t="e">
        <f>AND(Birds!CF42,"AAAAAHPuv18=")</f>
        <v>#VALUE!</v>
      </c>
      <c r="CS69" t="e">
        <f>AND(Birds!CG42,"AAAAAHPuv2A=")</f>
        <v>#VALUE!</v>
      </c>
      <c r="CT69" t="e">
        <f>AND(Birds!CH42,"AAAAAHPuv2E=")</f>
        <v>#VALUE!</v>
      </c>
      <c r="CU69" t="e">
        <f>AND(Birds!CI42,"AAAAAHPuv2I=")</f>
        <v>#VALUE!</v>
      </c>
      <c r="CV69" t="e">
        <f>AND(Birds!CJ42,"AAAAAHPuv2M=")</f>
        <v>#VALUE!</v>
      </c>
      <c r="CW69" t="e">
        <f>AND(Birds!CK42,"AAAAAHPuv2Q=")</f>
        <v>#VALUE!</v>
      </c>
      <c r="CX69" t="e">
        <f>AND(Birds!CL42,"AAAAAHPuv2U=")</f>
        <v>#VALUE!</v>
      </c>
      <c r="CY69" t="e">
        <f>AND(Birds!CM42,"AAAAAHPuv2Y=")</f>
        <v>#VALUE!</v>
      </c>
      <c r="CZ69" t="e">
        <f>AND(Birds!CN42,"AAAAAHPuv2c=")</f>
        <v>#VALUE!</v>
      </c>
      <c r="DA69" t="e">
        <f>AND(Birds!CO42,"AAAAAHPuv2g=")</f>
        <v>#VALUE!</v>
      </c>
      <c r="DB69" t="e">
        <f>AND(Birds!CP42,"AAAAAHPuv2k=")</f>
        <v>#VALUE!</v>
      </c>
      <c r="DC69" t="e">
        <f>AND(Birds!CQ42,"AAAAAHPuv2o=")</f>
        <v>#VALUE!</v>
      </c>
      <c r="DD69" t="e">
        <f>AND(Birds!CR42,"AAAAAHPuv2s=")</f>
        <v>#VALUE!</v>
      </c>
      <c r="DE69" t="e">
        <f>AND(Birds!CS42,"AAAAAHPuv2w=")</f>
        <v>#VALUE!</v>
      </c>
      <c r="DF69" t="e">
        <f>AND(Birds!CT42,"AAAAAHPuv20=")</f>
        <v>#VALUE!</v>
      </c>
      <c r="DG69" t="e">
        <f>AND(Birds!CU42,"AAAAAHPuv24=")</f>
        <v>#VALUE!</v>
      </c>
      <c r="DH69" t="e">
        <f>AND(Birds!CV42,"AAAAAHPuv28=")</f>
        <v>#VALUE!</v>
      </c>
      <c r="DI69" t="e">
        <f>AND(Birds!CW42,"AAAAAHPuv3A=")</f>
        <v>#VALUE!</v>
      </c>
      <c r="DJ69" t="e">
        <f>AND(Birds!CX42,"AAAAAHPuv3E=")</f>
        <v>#VALUE!</v>
      </c>
      <c r="DK69" t="e">
        <f>AND(Birds!CY42,"AAAAAHPuv3I=")</f>
        <v>#VALUE!</v>
      </c>
      <c r="DL69" t="e">
        <f>AND(Birds!CZ42,"AAAAAHPuv3M=")</f>
        <v>#VALUE!</v>
      </c>
      <c r="DM69" t="e">
        <f>AND(Birds!DA42,"AAAAAHPuv3Q=")</f>
        <v>#VALUE!</v>
      </c>
      <c r="DN69" t="e">
        <f>AND(Birds!DB42,"AAAAAHPuv3U=")</f>
        <v>#VALUE!</v>
      </c>
      <c r="DO69" t="e">
        <f>AND(Birds!DC42,"AAAAAHPuv3Y=")</f>
        <v>#VALUE!</v>
      </c>
      <c r="DP69" t="e">
        <f>AND(Birds!DD42,"AAAAAHPuv3c=")</f>
        <v>#VALUE!</v>
      </c>
      <c r="DQ69" t="e">
        <f>AND(Birds!DE42,"AAAAAHPuv3g=")</f>
        <v>#VALUE!</v>
      </c>
      <c r="DR69" t="e">
        <f>AND(Birds!DF42,"AAAAAHPuv3k=")</f>
        <v>#VALUE!</v>
      </c>
      <c r="DS69" t="e">
        <f>AND(Birds!DG42,"AAAAAHPuv3o=")</f>
        <v>#VALUE!</v>
      </c>
      <c r="DT69" t="e">
        <f>AND(Birds!DH42,"AAAAAHPuv3s=")</f>
        <v>#VALUE!</v>
      </c>
      <c r="DU69" t="e">
        <f>AND(Birds!DI42,"AAAAAHPuv3w=")</f>
        <v>#VALUE!</v>
      </c>
      <c r="DV69" t="e">
        <f>AND(Birds!DJ42,"AAAAAHPuv30=")</f>
        <v>#VALUE!</v>
      </c>
      <c r="DW69" t="e">
        <f>AND(Birds!DK42,"AAAAAHPuv34=")</f>
        <v>#VALUE!</v>
      </c>
      <c r="DX69" t="e">
        <f>AND(Birds!DL42,"AAAAAHPuv38=")</f>
        <v>#VALUE!</v>
      </c>
      <c r="DY69" t="e">
        <f>AND(Birds!DM42,"AAAAAHPuv4A=")</f>
        <v>#VALUE!</v>
      </c>
      <c r="DZ69" t="e">
        <f>AND(Birds!DN42,"AAAAAHPuv4E=")</f>
        <v>#VALUE!</v>
      </c>
      <c r="EA69" t="e">
        <f>AND(Birds!DO42,"AAAAAHPuv4I=")</f>
        <v>#VALUE!</v>
      </c>
      <c r="EB69" t="e">
        <f>AND(Birds!DP42,"AAAAAHPuv4M=")</f>
        <v>#VALUE!</v>
      </c>
      <c r="EC69" t="e">
        <f>AND(Birds!DQ42,"AAAAAHPuv4Q=")</f>
        <v>#VALUE!</v>
      </c>
      <c r="ED69" t="e">
        <f>AND(Birds!DR42,"AAAAAHPuv4U=")</f>
        <v>#VALUE!</v>
      </c>
      <c r="EE69" t="e">
        <f>AND(Birds!DS42,"AAAAAHPuv4Y=")</f>
        <v>#VALUE!</v>
      </c>
      <c r="EF69" t="e">
        <f>AND(Birds!DT42,"AAAAAHPuv4c=")</f>
        <v>#VALUE!</v>
      </c>
      <c r="EG69" t="e">
        <f>AND(Birds!DU42,"AAAAAHPuv4g=")</f>
        <v>#VALUE!</v>
      </c>
      <c r="EH69" t="e">
        <f>AND(Birds!DV42,"AAAAAHPuv4k=")</f>
        <v>#VALUE!</v>
      </c>
      <c r="EI69" t="e">
        <f>AND(Birds!DW42,"AAAAAHPuv4o=")</f>
        <v>#VALUE!</v>
      </c>
      <c r="EJ69" t="e">
        <f>AND(Birds!DX42,"AAAAAHPuv4s=")</f>
        <v>#VALUE!</v>
      </c>
      <c r="EK69" t="e">
        <f>AND(Birds!DY42,"AAAAAHPuv4w=")</f>
        <v>#VALUE!</v>
      </c>
      <c r="EL69" t="e">
        <f>AND(Birds!DZ42,"AAAAAHPuv40=")</f>
        <v>#VALUE!</v>
      </c>
      <c r="EM69" t="e">
        <f>AND(Birds!EA42,"AAAAAHPuv44=")</f>
        <v>#VALUE!</v>
      </c>
      <c r="EN69" t="e">
        <f>AND(Birds!EB42,"AAAAAHPuv48=")</f>
        <v>#VALUE!</v>
      </c>
      <c r="EO69" t="e">
        <f>AND(Birds!EC42,"AAAAAHPuv5A=")</f>
        <v>#VALUE!</v>
      </c>
      <c r="EP69" t="e">
        <f>AND(Birds!ED42,"AAAAAHPuv5E=")</f>
        <v>#VALUE!</v>
      </c>
      <c r="EQ69" t="e">
        <f>AND(Birds!EE42,"AAAAAHPuv5I=")</f>
        <v>#VALUE!</v>
      </c>
      <c r="ER69" t="e">
        <f>AND(Birds!EF42,"AAAAAHPuv5M=")</f>
        <v>#VALUE!</v>
      </c>
      <c r="ES69" t="e">
        <f>AND(Birds!EG42,"AAAAAHPuv5Q=")</f>
        <v>#VALUE!</v>
      </c>
      <c r="ET69" t="e">
        <f>AND(Birds!EH42,"AAAAAHPuv5U=")</f>
        <v>#VALUE!</v>
      </c>
      <c r="EU69" t="e">
        <f>AND(Birds!EI42,"AAAAAHPuv5Y=")</f>
        <v>#VALUE!</v>
      </c>
      <c r="EV69" t="e">
        <f>AND(Birds!EJ42,"AAAAAHPuv5c=")</f>
        <v>#VALUE!</v>
      </c>
      <c r="EW69" t="e">
        <f>AND(Birds!EK42,"AAAAAHPuv5g=")</f>
        <v>#VALUE!</v>
      </c>
      <c r="EX69" t="e">
        <f>AND(Birds!EL42,"AAAAAHPuv5k=")</f>
        <v>#VALUE!</v>
      </c>
      <c r="EY69" t="e">
        <f>AND(Birds!EM42,"AAAAAHPuv5o=")</f>
        <v>#VALUE!</v>
      </c>
      <c r="EZ69" t="e">
        <f>AND(Birds!EN42,"AAAAAHPuv5s=")</f>
        <v>#VALUE!</v>
      </c>
      <c r="FA69" t="e">
        <f>AND(Birds!EO42,"AAAAAHPuv5w=")</f>
        <v>#VALUE!</v>
      </c>
      <c r="FB69" t="e">
        <f>AND(Birds!EP42,"AAAAAHPuv50=")</f>
        <v>#VALUE!</v>
      </c>
      <c r="FC69" t="e">
        <f>AND(Birds!EQ42,"AAAAAHPuv54=")</f>
        <v>#VALUE!</v>
      </c>
      <c r="FD69" t="e">
        <f>AND(Birds!ER42,"AAAAAHPuv58=")</f>
        <v>#VALUE!</v>
      </c>
      <c r="FE69" t="e">
        <f>AND(Birds!ES42,"AAAAAHPuv6A=")</f>
        <v>#VALUE!</v>
      </c>
      <c r="FF69" t="e">
        <f>AND(Birds!ET42,"AAAAAHPuv6E=")</f>
        <v>#VALUE!</v>
      </c>
      <c r="FG69" t="e">
        <f>AND(Birds!EU42,"AAAAAHPuv6I=")</f>
        <v>#VALUE!</v>
      </c>
      <c r="FH69" t="e">
        <f>AND(Birds!EV42,"AAAAAHPuv6M=")</f>
        <v>#VALUE!</v>
      </c>
      <c r="FI69" t="e">
        <f>AND(Birds!EW42,"AAAAAHPuv6Q=")</f>
        <v>#VALUE!</v>
      </c>
      <c r="FJ69" t="e">
        <f>AND(Birds!EX42,"AAAAAHPuv6U=")</f>
        <v>#VALUE!</v>
      </c>
      <c r="FK69" t="e">
        <f>AND(Birds!EY42,"AAAAAHPuv6Y=")</f>
        <v>#VALUE!</v>
      </c>
      <c r="FL69" t="e">
        <f>AND(Birds!EZ42,"AAAAAHPuv6c=")</f>
        <v>#VALUE!</v>
      </c>
      <c r="FM69" t="e">
        <f>AND(Birds!FA42,"AAAAAHPuv6g=")</f>
        <v>#VALUE!</v>
      </c>
      <c r="FN69" t="e">
        <f>AND(Birds!FB42,"AAAAAHPuv6k=")</f>
        <v>#VALUE!</v>
      </c>
      <c r="FO69" t="e">
        <f>AND(Birds!FC42,"AAAAAHPuv6o=")</f>
        <v>#VALUE!</v>
      </c>
      <c r="FP69" t="e">
        <f>AND(Birds!FD42,"AAAAAHPuv6s=")</f>
        <v>#VALUE!</v>
      </c>
      <c r="FQ69" t="e">
        <f>AND(Birds!FE42,"AAAAAHPuv6w=")</f>
        <v>#VALUE!</v>
      </c>
      <c r="FR69" t="e">
        <f>AND(Birds!FF42,"AAAAAHPuv60=")</f>
        <v>#VALUE!</v>
      </c>
      <c r="FS69" t="e">
        <f>AND(Birds!FG42,"AAAAAHPuv64=")</f>
        <v>#VALUE!</v>
      </c>
      <c r="FT69" t="e">
        <f>AND(Birds!FH42,"AAAAAHPuv68=")</f>
        <v>#VALUE!</v>
      </c>
      <c r="FU69" t="e">
        <f>AND(Birds!FI42,"AAAAAHPuv7A=")</f>
        <v>#VALUE!</v>
      </c>
      <c r="FV69" t="e">
        <f>AND(Birds!FJ42,"AAAAAHPuv7E=")</f>
        <v>#VALUE!</v>
      </c>
      <c r="FW69" t="e">
        <f>AND(Birds!FK42,"AAAAAHPuv7I=")</f>
        <v>#VALUE!</v>
      </c>
      <c r="FX69" t="e">
        <f>AND(Birds!FL42,"AAAAAHPuv7M=")</f>
        <v>#VALUE!</v>
      </c>
      <c r="FY69" t="e">
        <f>AND(Birds!FM42,"AAAAAHPuv7Q=")</f>
        <v>#VALUE!</v>
      </c>
      <c r="FZ69" t="e">
        <f>AND(Birds!FN42,"AAAAAHPuv7U=")</f>
        <v>#VALUE!</v>
      </c>
      <c r="GA69" t="e">
        <f>AND(Birds!FO42,"AAAAAHPuv7Y=")</f>
        <v>#VALUE!</v>
      </c>
      <c r="GB69" t="e">
        <f>AND(Birds!FP42,"AAAAAHPuv7c=")</f>
        <v>#VALUE!</v>
      </c>
      <c r="GC69" t="e">
        <f>AND(Birds!FQ42,"AAAAAHPuv7g=")</f>
        <v>#VALUE!</v>
      </c>
      <c r="GD69" t="e">
        <f>AND(Birds!FR42,"AAAAAHPuv7k=")</f>
        <v>#VALUE!</v>
      </c>
      <c r="GE69" t="e">
        <f>AND(Birds!FS42,"AAAAAHPuv7o=")</f>
        <v>#VALUE!</v>
      </c>
      <c r="GF69" t="e">
        <f>AND(Birds!FT42,"AAAAAHPuv7s=")</f>
        <v>#VALUE!</v>
      </c>
      <c r="GG69" t="e">
        <f>AND(Birds!FU42,"AAAAAHPuv7w=")</f>
        <v>#VALUE!</v>
      </c>
      <c r="GH69" t="e">
        <f>AND(Birds!FV42,"AAAAAHPuv70=")</f>
        <v>#VALUE!</v>
      </c>
      <c r="GI69" t="e">
        <f>AND(Birds!FW42,"AAAAAHPuv74=")</f>
        <v>#VALUE!</v>
      </c>
      <c r="GJ69" t="e">
        <f>AND(Birds!FX42,"AAAAAHPuv78=")</f>
        <v>#VALUE!</v>
      </c>
      <c r="GK69" t="e">
        <f>AND(Birds!FY42,"AAAAAHPuv8A=")</f>
        <v>#VALUE!</v>
      </c>
      <c r="GL69" t="e">
        <f>AND(Birds!FZ42,"AAAAAHPuv8E=")</f>
        <v>#VALUE!</v>
      </c>
      <c r="GM69" t="e">
        <f>AND(Birds!GA42,"AAAAAHPuv8I=")</f>
        <v>#VALUE!</v>
      </c>
      <c r="GN69" t="e">
        <f>AND(Birds!GB42,"AAAAAHPuv8M=")</f>
        <v>#VALUE!</v>
      </c>
      <c r="GO69" t="e">
        <f>AND(Birds!GC42,"AAAAAHPuv8Q=")</f>
        <v>#VALUE!</v>
      </c>
      <c r="GP69" t="e">
        <f>AND(Birds!GD42,"AAAAAHPuv8U=")</f>
        <v>#VALUE!</v>
      </c>
      <c r="GQ69" t="e">
        <f>AND(Birds!GE42,"AAAAAHPuv8Y=")</f>
        <v>#VALUE!</v>
      </c>
      <c r="GR69" t="e">
        <f>AND(Birds!GF42,"AAAAAHPuv8c=")</f>
        <v>#VALUE!</v>
      </c>
      <c r="GS69" t="e">
        <f>AND(Birds!GG42,"AAAAAHPuv8g=")</f>
        <v>#VALUE!</v>
      </c>
      <c r="GT69" t="e">
        <f>AND(Birds!GH42,"AAAAAHPuv8k=")</f>
        <v>#VALUE!</v>
      </c>
      <c r="GU69" t="e">
        <f>AND(Birds!GI42,"AAAAAHPuv8o=")</f>
        <v>#VALUE!</v>
      </c>
      <c r="GV69" t="e">
        <f>AND(Birds!GJ42,"AAAAAHPuv8s=")</f>
        <v>#VALUE!</v>
      </c>
      <c r="GW69" t="e">
        <f>AND(Birds!GK42,"AAAAAHPuv8w=")</f>
        <v>#VALUE!</v>
      </c>
      <c r="GX69" t="e">
        <f>AND(Birds!GL42,"AAAAAHPuv80=")</f>
        <v>#VALUE!</v>
      </c>
      <c r="GY69" t="e">
        <f>AND(Birds!GM42,"AAAAAHPuv84=")</f>
        <v>#VALUE!</v>
      </c>
      <c r="GZ69">
        <f>IF(Birds!43:43,"AAAAAHPuv88=",0)</f>
        <v>0</v>
      </c>
      <c r="HA69" t="e">
        <f>AND(Birds!A43,"AAAAAHPuv9A=")</f>
        <v>#VALUE!</v>
      </c>
      <c r="HB69" t="e">
        <f>AND(Birds!B43,"AAAAAHPuv9E=")</f>
        <v>#VALUE!</v>
      </c>
      <c r="HC69" t="e">
        <f>AND(Birds!C43,"AAAAAHPuv9I=")</f>
        <v>#VALUE!</v>
      </c>
      <c r="HD69" t="e">
        <f>AND(Birds!D43,"AAAAAHPuv9M=")</f>
        <v>#VALUE!</v>
      </c>
      <c r="HE69" t="e">
        <f>AND(Birds!E43,"AAAAAHPuv9Q=")</f>
        <v>#VALUE!</v>
      </c>
      <c r="HF69" t="e">
        <f>AND(Birds!F43,"AAAAAHPuv9U=")</f>
        <v>#VALUE!</v>
      </c>
      <c r="HG69" t="e">
        <f>AND(Birds!G43,"AAAAAHPuv9Y=")</f>
        <v>#VALUE!</v>
      </c>
      <c r="HH69" t="e">
        <f>AND(Birds!H43,"AAAAAHPuv9c=")</f>
        <v>#VALUE!</v>
      </c>
      <c r="HI69" t="e">
        <f>AND(Birds!I43,"AAAAAHPuv9g=")</f>
        <v>#VALUE!</v>
      </c>
      <c r="HJ69" t="e">
        <f>AND(Birds!J43,"AAAAAHPuv9k=")</f>
        <v>#VALUE!</v>
      </c>
      <c r="HK69" t="e">
        <f>AND(Birds!K43,"AAAAAHPuv9o=")</f>
        <v>#VALUE!</v>
      </c>
      <c r="HL69" t="e">
        <f>AND(Birds!L43,"AAAAAHPuv9s=")</f>
        <v>#VALUE!</v>
      </c>
      <c r="HM69" t="e">
        <f>AND(Birds!M43,"AAAAAHPuv9w=")</f>
        <v>#VALUE!</v>
      </c>
      <c r="HN69" t="e">
        <f>AND(Birds!N43,"AAAAAHPuv90=")</f>
        <v>#VALUE!</v>
      </c>
      <c r="HO69" t="e">
        <f>AND(Birds!O43,"AAAAAHPuv94=")</f>
        <v>#VALUE!</v>
      </c>
      <c r="HP69" t="e">
        <f>AND(Birds!P43,"AAAAAHPuv98=")</f>
        <v>#VALUE!</v>
      </c>
      <c r="HQ69" t="e">
        <f>AND(Birds!Q43,"AAAAAHPuv+A=")</f>
        <v>#VALUE!</v>
      </c>
      <c r="HR69" t="e">
        <f>AND(Birds!R43,"AAAAAHPuv+E=")</f>
        <v>#VALUE!</v>
      </c>
      <c r="HS69" t="e">
        <f>AND(Birds!S43,"AAAAAHPuv+I=")</f>
        <v>#VALUE!</v>
      </c>
      <c r="HT69" t="e">
        <f>AND(Birds!T43,"AAAAAHPuv+M=")</f>
        <v>#VALUE!</v>
      </c>
      <c r="HU69" t="e">
        <f>AND(Birds!U43,"AAAAAHPuv+Q=")</f>
        <v>#VALUE!</v>
      </c>
      <c r="HV69" t="e">
        <f>AND(Birds!V43,"AAAAAHPuv+U=")</f>
        <v>#VALUE!</v>
      </c>
      <c r="HW69" t="e">
        <f>AND(Birds!W43,"AAAAAHPuv+Y=")</f>
        <v>#VALUE!</v>
      </c>
      <c r="HX69" t="e">
        <f>AND(Birds!X43,"AAAAAHPuv+c=")</f>
        <v>#VALUE!</v>
      </c>
      <c r="HY69" t="e">
        <f>AND(Birds!Y43,"AAAAAHPuv+g=")</f>
        <v>#VALUE!</v>
      </c>
      <c r="HZ69" t="e">
        <f>AND(Birds!Z43,"AAAAAHPuv+k=")</f>
        <v>#VALUE!</v>
      </c>
      <c r="IA69" t="e">
        <f>AND(Birds!AA43,"AAAAAHPuv+o=")</f>
        <v>#VALUE!</v>
      </c>
      <c r="IB69" t="e">
        <f>AND(Birds!AB43,"AAAAAHPuv+s=")</f>
        <v>#VALUE!</v>
      </c>
      <c r="IC69" t="e">
        <f>AND(Birds!AC43,"AAAAAHPuv+w=")</f>
        <v>#VALUE!</v>
      </c>
      <c r="ID69" t="e">
        <f>AND(Birds!AD43,"AAAAAHPuv+0=")</f>
        <v>#VALUE!</v>
      </c>
      <c r="IE69" t="e">
        <f>AND(Birds!AE43,"AAAAAHPuv+4=")</f>
        <v>#VALUE!</v>
      </c>
      <c r="IF69" t="e">
        <f>AND(Birds!AF43,"AAAAAHPuv+8=")</f>
        <v>#VALUE!</v>
      </c>
      <c r="IG69" t="e">
        <f>AND(Birds!AG43,"AAAAAHPuv/A=")</f>
        <v>#VALUE!</v>
      </c>
      <c r="IH69" t="e">
        <f>AND(Birds!AH43,"AAAAAHPuv/E=")</f>
        <v>#VALUE!</v>
      </c>
      <c r="II69" t="e">
        <f>AND(Birds!AI43,"AAAAAHPuv/I=")</f>
        <v>#VALUE!</v>
      </c>
      <c r="IJ69" t="e">
        <f>AND(Birds!AJ43,"AAAAAHPuv/M=")</f>
        <v>#VALUE!</v>
      </c>
      <c r="IK69" t="e">
        <f>AND(Birds!AK43,"AAAAAHPuv/Q=")</f>
        <v>#VALUE!</v>
      </c>
      <c r="IL69" t="e">
        <f>AND(Birds!AL43,"AAAAAHPuv/U=")</f>
        <v>#VALUE!</v>
      </c>
      <c r="IM69" t="e">
        <f>AND(Birds!AM43,"AAAAAHPuv/Y=")</f>
        <v>#VALUE!</v>
      </c>
      <c r="IN69" t="e">
        <f>AND(Birds!AN43,"AAAAAHPuv/c=")</f>
        <v>#VALUE!</v>
      </c>
      <c r="IO69" t="e">
        <f>AND(Birds!AO43,"AAAAAHPuv/g=")</f>
        <v>#VALUE!</v>
      </c>
      <c r="IP69" t="e">
        <f>AND(Birds!AP43,"AAAAAHPuv/k=")</f>
        <v>#VALUE!</v>
      </c>
      <c r="IQ69" t="e">
        <f>AND(Birds!AQ43,"AAAAAHPuv/o=")</f>
        <v>#VALUE!</v>
      </c>
      <c r="IR69" t="e">
        <f>AND(Birds!AR43,"AAAAAHPuv/s=")</f>
        <v>#VALUE!</v>
      </c>
      <c r="IS69" t="e">
        <f>AND(Birds!AS43,"AAAAAHPuv/w=")</f>
        <v>#VALUE!</v>
      </c>
      <c r="IT69" t="e">
        <f>AND(Birds!AT43,"AAAAAHPuv/0=")</f>
        <v>#VALUE!</v>
      </c>
      <c r="IU69" t="e">
        <f>AND(Birds!AU43,"AAAAAHPuv/4=")</f>
        <v>#VALUE!</v>
      </c>
      <c r="IV69" t="e">
        <f>AND(Birds!AV43,"AAAAAHPuv/8=")</f>
        <v>#VALUE!</v>
      </c>
    </row>
    <row r="70" spans="1:256">
      <c r="A70" t="e">
        <f>AND(Birds!AW43,"AAAAAFr3+gA=")</f>
        <v>#VALUE!</v>
      </c>
      <c r="B70" t="e">
        <f>AND(Birds!AX43,"AAAAAFr3+gE=")</f>
        <v>#VALUE!</v>
      </c>
      <c r="C70" t="e">
        <f>AND(Birds!AY43,"AAAAAFr3+gI=")</f>
        <v>#VALUE!</v>
      </c>
      <c r="D70" t="e">
        <f>AND(Birds!AZ43,"AAAAAFr3+gM=")</f>
        <v>#VALUE!</v>
      </c>
      <c r="E70" t="e">
        <f>AND(Birds!BA43,"AAAAAFr3+gQ=")</f>
        <v>#VALUE!</v>
      </c>
      <c r="F70" t="e">
        <f>AND(Birds!BB43,"AAAAAFr3+gU=")</f>
        <v>#VALUE!</v>
      </c>
      <c r="G70" t="e">
        <f>AND(Birds!BC43,"AAAAAFr3+gY=")</f>
        <v>#VALUE!</v>
      </c>
      <c r="H70" t="e">
        <f>AND(Birds!BD43,"AAAAAFr3+gc=")</f>
        <v>#VALUE!</v>
      </c>
      <c r="I70" t="e">
        <f>AND(Birds!BE43,"AAAAAFr3+gg=")</f>
        <v>#VALUE!</v>
      </c>
      <c r="J70" t="e">
        <f>AND(Birds!BF43,"AAAAAFr3+gk=")</f>
        <v>#VALUE!</v>
      </c>
      <c r="K70" t="e">
        <f>AND(Birds!BG43,"AAAAAFr3+go=")</f>
        <v>#VALUE!</v>
      </c>
      <c r="L70" t="e">
        <f>AND(Birds!BH43,"AAAAAFr3+gs=")</f>
        <v>#VALUE!</v>
      </c>
      <c r="M70" t="e">
        <f>AND(Birds!BI43,"AAAAAFr3+gw=")</f>
        <v>#VALUE!</v>
      </c>
      <c r="N70" t="e">
        <f>AND(Birds!BJ43,"AAAAAFr3+g0=")</f>
        <v>#VALUE!</v>
      </c>
      <c r="O70" t="e">
        <f>AND(Birds!BK43,"AAAAAFr3+g4=")</f>
        <v>#VALUE!</v>
      </c>
      <c r="P70" t="e">
        <f>AND(Birds!BL43,"AAAAAFr3+g8=")</f>
        <v>#VALUE!</v>
      </c>
      <c r="Q70" t="e">
        <f>AND(Birds!BM43,"AAAAAFr3+hA=")</f>
        <v>#VALUE!</v>
      </c>
      <c r="R70" t="e">
        <f>AND(Birds!BN43,"AAAAAFr3+hE=")</f>
        <v>#VALUE!</v>
      </c>
      <c r="S70" t="e">
        <f>AND(Birds!BO43,"AAAAAFr3+hI=")</f>
        <v>#VALUE!</v>
      </c>
      <c r="T70" t="e">
        <f>AND(Birds!BP43,"AAAAAFr3+hM=")</f>
        <v>#VALUE!</v>
      </c>
      <c r="U70" t="e">
        <f>AND(Birds!BQ43,"AAAAAFr3+hQ=")</f>
        <v>#VALUE!</v>
      </c>
      <c r="V70" t="e">
        <f>AND(Birds!BR43,"AAAAAFr3+hU=")</f>
        <v>#VALUE!</v>
      </c>
      <c r="W70" t="e">
        <f>AND(Birds!BS43,"AAAAAFr3+hY=")</f>
        <v>#VALUE!</v>
      </c>
      <c r="X70" t="e">
        <f>AND(Birds!BT43,"AAAAAFr3+hc=")</f>
        <v>#VALUE!</v>
      </c>
      <c r="Y70" t="e">
        <f>AND(Birds!BU43,"AAAAAFr3+hg=")</f>
        <v>#VALUE!</v>
      </c>
      <c r="Z70" t="e">
        <f>AND(Birds!BV43,"AAAAAFr3+hk=")</f>
        <v>#VALUE!</v>
      </c>
      <c r="AA70" t="e">
        <f>AND(Birds!BW43,"AAAAAFr3+ho=")</f>
        <v>#VALUE!</v>
      </c>
      <c r="AB70" t="e">
        <f>AND(Birds!BX43,"AAAAAFr3+hs=")</f>
        <v>#VALUE!</v>
      </c>
      <c r="AC70" t="e">
        <f>AND(Birds!BY43,"AAAAAFr3+hw=")</f>
        <v>#VALUE!</v>
      </c>
      <c r="AD70" t="e">
        <f>AND(Birds!BZ43,"AAAAAFr3+h0=")</f>
        <v>#VALUE!</v>
      </c>
      <c r="AE70" t="e">
        <f>AND(Birds!CA43,"AAAAAFr3+h4=")</f>
        <v>#VALUE!</v>
      </c>
      <c r="AF70" t="e">
        <f>AND(Birds!CB43,"AAAAAFr3+h8=")</f>
        <v>#VALUE!</v>
      </c>
      <c r="AG70" t="e">
        <f>AND(Birds!CC43,"AAAAAFr3+iA=")</f>
        <v>#VALUE!</v>
      </c>
      <c r="AH70" t="e">
        <f>AND(Birds!CD43,"AAAAAFr3+iE=")</f>
        <v>#VALUE!</v>
      </c>
      <c r="AI70" t="e">
        <f>AND(Birds!CE43,"AAAAAFr3+iI=")</f>
        <v>#VALUE!</v>
      </c>
      <c r="AJ70" t="e">
        <f>AND(Birds!CF43,"AAAAAFr3+iM=")</f>
        <v>#VALUE!</v>
      </c>
      <c r="AK70" t="e">
        <f>AND(Birds!CG43,"AAAAAFr3+iQ=")</f>
        <v>#VALUE!</v>
      </c>
      <c r="AL70" t="e">
        <f>AND(Birds!CH43,"AAAAAFr3+iU=")</f>
        <v>#VALUE!</v>
      </c>
      <c r="AM70" t="e">
        <f>AND(Birds!CI43,"AAAAAFr3+iY=")</f>
        <v>#VALUE!</v>
      </c>
      <c r="AN70" t="e">
        <f>AND(Birds!CJ43,"AAAAAFr3+ic=")</f>
        <v>#VALUE!</v>
      </c>
      <c r="AO70" t="e">
        <f>AND(Birds!CK43,"AAAAAFr3+ig=")</f>
        <v>#VALUE!</v>
      </c>
      <c r="AP70" t="e">
        <f>AND(Birds!CL43,"AAAAAFr3+ik=")</f>
        <v>#VALUE!</v>
      </c>
      <c r="AQ70" t="e">
        <f>AND(Birds!CM43,"AAAAAFr3+io=")</f>
        <v>#VALUE!</v>
      </c>
      <c r="AR70" t="e">
        <f>AND(Birds!CN43,"AAAAAFr3+is=")</f>
        <v>#VALUE!</v>
      </c>
      <c r="AS70" t="e">
        <f>AND(Birds!CO43,"AAAAAFr3+iw=")</f>
        <v>#VALUE!</v>
      </c>
      <c r="AT70" t="e">
        <f>AND(Birds!CP43,"AAAAAFr3+i0=")</f>
        <v>#VALUE!</v>
      </c>
      <c r="AU70" t="e">
        <f>AND(Birds!CQ43,"AAAAAFr3+i4=")</f>
        <v>#VALUE!</v>
      </c>
      <c r="AV70" t="e">
        <f>AND(Birds!CR43,"AAAAAFr3+i8=")</f>
        <v>#VALUE!</v>
      </c>
      <c r="AW70" t="e">
        <f>AND(Birds!CS43,"AAAAAFr3+jA=")</f>
        <v>#VALUE!</v>
      </c>
      <c r="AX70" t="e">
        <f>AND(Birds!CT43,"AAAAAFr3+jE=")</f>
        <v>#VALUE!</v>
      </c>
      <c r="AY70" t="e">
        <f>AND(Birds!CU43,"AAAAAFr3+jI=")</f>
        <v>#VALUE!</v>
      </c>
      <c r="AZ70" t="e">
        <f>AND(Birds!CV43,"AAAAAFr3+jM=")</f>
        <v>#VALUE!</v>
      </c>
      <c r="BA70" t="e">
        <f>AND(Birds!CW43,"AAAAAFr3+jQ=")</f>
        <v>#VALUE!</v>
      </c>
      <c r="BB70" t="e">
        <f>AND(Birds!CX43,"AAAAAFr3+jU=")</f>
        <v>#VALUE!</v>
      </c>
      <c r="BC70" t="e">
        <f>AND(Birds!CY43,"AAAAAFr3+jY=")</f>
        <v>#VALUE!</v>
      </c>
      <c r="BD70" t="e">
        <f>AND(Birds!CZ43,"AAAAAFr3+jc=")</f>
        <v>#VALUE!</v>
      </c>
      <c r="BE70" t="e">
        <f>AND(Birds!DA43,"AAAAAFr3+jg=")</f>
        <v>#VALUE!</v>
      </c>
      <c r="BF70" t="e">
        <f>AND(Birds!DB43,"AAAAAFr3+jk=")</f>
        <v>#VALUE!</v>
      </c>
      <c r="BG70" t="e">
        <f>AND(Birds!DC43,"AAAAAFr3+jo=")</f>
        <v>#VALUE!</v>
      </c>
      <c r="BH70" t="e">
        <f>AND(Birds!DD43,"AAAAAFr3+js=")</f>
        <v>#VALUE!</v>
      </c>
      <c r="BI70" t="e">
        <f>AND(Birds!DE43,"AAAAAFr3+jw=")</f>
        <v>#VALUE!</v>
      </c>
      <c r="BJ70" t="e">
        <f>AND(Birds!DF43,"AAAAAFr3+j0=")</f>
        <v>#VALUE!</v>
      </c>
      <c r="BK70" t="e">
        <f>AND(Birds!DG43,"AAAAAFr3+j4=")</f>
        <v>#VALUE!</v>
      </c>
      <c r="BL70" t="e">
        <f>AND(Birds!DH43,"AAAAAFr3+j8=")</f>
        <v>#VALUE!</v>
      </c>
      <c r="BM70" t="e">
        <f>AND(Birds!DI43,"AAAAAFr3+kA=")</f>
        <v>#VALUE!</v>
      </c>
      <c r="BN70" t="e">
        <f>AND(Birds!DJ43,"AAAAAFr3+kE=")</f>
        <v>#VALUE!</v>
      </c>
      <c r="BO70" t="e">
        <f>AND(Birds!DK43,"AAAAAFr3+kI=")</f>
        <v>#VALUE!</v>
      </c>
      <c r="BP70" t="e">
        <f>AND(Birds!DL43,"AAAAAFr3+kM=")</f>
        <v>#VALUE!</v>
      </c>
      <c r="BQ70" t="e">
        <f>AND(Birds!DM43,"AAAAAFr3+kQ=")</f>
        <v>#VALUE!</v>
      </c>
      <c r="BR70" t="e">
        <f>AND(Birds!DN43,"AAAAAFr3+kU=")</f>
        <v>#VALUE!</v>
      </c>
      <c r="BS70" t="e">
        <f>AND(Birds!DO43,"AAAAAFr3+kY=")</f>
        <v>#VALUE!</v>
      </c>
      <c r="BT70" t="e">
        <f>AND(Birds!DP43,"AAAAAFr3+kc=")</f>
        <v>#VALUE!</v>
      </c>
      <c r="BU70" t="e">
        <f>AND(Birds!DQ43,"AAAAAFr3+kg=")</f>
        <v>#VALUE!</v>
      </c>
      <c r="BV70" t="e">
        <f>AND(Birds!DR43,"AAAAAFr3+kk=")</f>
        <v>#VALUE!</v>
      </c>
      <c r="BW70" t="e">
        <f>AND(Birds!DS43,"AAAAAFr3+ko=")</f>
        <v>#VALUE!</v>
      </c>
      <c r="BX70" t="e">
        <f>AND(Birds!DT43,"AAAAAFr3+ks=")</f>
        <v>#VALUE!</v>
      </c>
      <c r="BY70" t="e">
        <f>AND(Birds!DU43,"AAAAAFr3+kw=")</f>
        <v>#VALUE!</v>
      </c>
      <c r="BZ70" t="e">
        <f>AND(Birds!DV43,"AAAAAFr3+k0=")</f>
        <v>#VALUE!</v>
      </c>
      <c r="CA70" t="e">
        <f>AND(Birds!DW43,"AAAAAFr3+k4=")</f>
        <v>#VALUE!</v>
      </c>
      <c r="CB70" t="e">
        <f>AND(Birds!DX43,"AAAAAFr3+k8=")</f>
        <v>#VALUE!</v>
      </c>
      <c r="CC70" t="e">
        <f>AND(Birds!DY43,"AAAAAFr3+lA=")</f>
        <v>#VALUE!</v>
      </c>
      <c r="CD70" t="e">
        <f>AND(Birds!DZ43,"AAAAAFr3+lE=")</f>
        <v>#VALUE!</v>
      </c>
      <c r="CE70" t="e">
        <f>AND(Birds!EA43,"AAAAAFr3+lI=")</f>
        <v>#VALUE!</v>
      </c>
      <c r="CF70" t="e">
        <f>AND(Birds!EB43,"AAAAAFr3+lM=")</f>
        <v>#VALUE!</v>
      </c>
      <c r="CG70" t="e">
        <f>AND(Birds!EC43,"AAAAAFr3+lQ=")</f>
        <v>#VALUE!</v>
      </c>
      <c r="CH70" t="e">
        <f>AND(Birds!ED43,"AAAAAFr3+lU=")</f>
        <v>#VALUE!</v>
      </c>
      <c r="CI70" t="e">
        <f>AND(Birds!EE43,"AAAAAFr3+lY=")</f>
        <v>#VALUE!</v>
      </c>
      <c r="CJ70" t="e">
        <f>AND(Birds!EF43,"AAAAAFr3+lc=")</f>
        <v>#VALUE!</v>
      </c>
      <c r="CK70" t="e">
        <f>AND(Birds!EG43,"AAAAAFr3+lg=")</f>
        <v>#VALUE!</v>
      </c>
      <c r="CL70" t="e">
        <f>AND(Birds!EH43,"AAAAAFr3+lk=")</f>
        <v>#VALUE!</v>
      </c>
      <c r="CM70" t="e">
        <f>AND(Birds!EI43,"AAAAAFr3+lo=")</f>
        <v>#VALUE!</v>
      </c>
      <c r="CN70" t="e">
        <f>AND(Birds!EJ43,"AAAAAFr3+ls=")</f>
        <v>#VALUE!</v>
      </c>
      <c r="CO70" t="e">
        <f>AND(Birds!EK43,"AAAAAFr3+lw=")</f>
        <v>#VALUE!</v>
      </c>
      <c r="CP70" t="e">
        <f>AND(Birds!EL43,"AAAAAFr3+l0=")</f>
        <v>#VALUE!</v>
      </c>
      <c r="CQ70" t="e">
        <f>AND(Birds!EM43,"AAAAAFr3+l4=")</f>
        <v>#VALUE!</v>
      </c>
      <c r="CR70" t="e">
        <f>AND(Birds!EN43,"AAAAAFr3+l8=")</f>
        <v>#VALUE!</v>
      </c>
      <c r="CS70" t="e">
        <f>AND(Birds!EO43,"AAAAAFr3+mA=")</f>
        <v>#VALUE!</v>
      </c>
      <c r="CT70" t="e">
        <f>AND(Birds!EP43,"AAAAAFr3+mE=")</f>
        <v>#VALUE!</v>
      </c>
      <c r="CU70" t="e">
        <f>AND(Birds!EQ43,"AAAAAFr3+mI=")</f>
        <v>#VALUE!</v>
      </c>
      <c r="CV70" t="e">
        <f>AND(Birds!ER43,"AAAAAFr3+mM=")</f>
        <v>#VALUE!</v>
      </c>
      <c r="CW70" t="e">
        <f>AND(Birds!ES43,"AAAAAFr3+mQ=")</f>
        <v>#VALUE!</v>
      </c>
      <c r="CX70" t="e">
        <f>AND(Birds!ET43,"AAAAAFr3+mU=")</f>
        <v>#VALUE!</v>
      </c>
      <c r="CY70" t="e">
        <f>AND(Birds!EU43,"AAAAAFr3+mY=")</f>
        <v>#VALUE!</v>
      </c>
      <c r="CZ70" t="e">
        <f>AND(Birds!EV43,"AAAAAFr3+mc=")</f>
        <v>#VALUE!</v>
      </c>
      <c r="DA70" t="e">
        <f>AND(Birds!EW43,"AAAAAFr3+mg=")</f>
        <v>#VALUE!</v>
      </c>
      <c r="DB70" t="e">
        <f>AND(Birds!EX43,"AAAAAFr3+mk=")</f>
        <v>#VALUE!</v>
      </c>
      <c r="DC70" t="e">
        <f>AND(Birds!EY43,"AAAAAFr3+mo=")</f>
        <v>#VALUE!</v>
      </c>
      <c r="DD70" t="e">
        <f>AND(Birds!EZ43,"AAAAAFr3+ms=")</f>
        <v>#VALUE!</v>
      </c>
      <c r="DE70" t="e">
        <f>AND(Birds!FA43,"AAAAAFr3+mw=")</f>
        <v>#VALUE!</v>
      </c>
      <c r="DF70" t="e">
        <f>AND(Birds!FB43,"AAAAAFr3+m0=")</f>
        <v>#VALUE!</v>
      </c>
      <c r="DG70" t="e">
        <f>AND(Birds!FC43,"AAAAAFr3+m4=")</f>
        <v>#VALUE!</v>
      </c>
      <c r="DH70" t="e">
        <f>AND(Birds!FD43,"AAAAAFr3+m8=")</f>
        <v>#VALUE!</v>
      </c>
      <c r="DI70" t="e">
        <f>AND(Birds!FE43,"AAAAAFr3+nA=")</f>
        <v>#VALUE!</v>
      </c>
      <c r="DJ70" t="e">
        <f>AND(Birds!FF43,"AAAAAFr3+nE=")</f>
        <v>#VALUE!</v>
      </c>
      <c r="DK70" t="e">
        <f>AND(Birds!FG43,"AAAAAFr3+nI=")</f>
        <v>#VALUE!</v>
      </c>
      <c r="DL70" t="e">
        <f>AND(Birds!FH43,"AAAAAFr3+nM=")</f>
        <v>#VALUE!</v>
      </c>
      <c r="DM70" t="e">
        <f>AND(Birds!FI43,"AAAAAFr3+nQ=")</f>
        <v>#VALUE!</v>
      </c>
      <c r="DN70" t="e">
        <f>AND(Birds!FJ43,"AAAAAFr3+nU=")</f>
        <v>#VALUE!</v>
      </c>
      <c r="DO70" t="e">
        <f>AND(Birds!FK43,"AAAAAFr3+nY=")</f>
        <v>#VALUE!</v>
      </c>
      <c r="DP70" t="e">
        <f>AND(Birds!FL43,"AAAAAFr3+nc=")</f>
        <v>#VALUE!</v>
      </c>
      <c r="DQ70" t="e">
        <f>AND(Birds!FM43,"AAAAAFr3+ng=")</f>
        <v>#VALUE!</v>
      </c>
      <c r="DR70" t="e">
        <f>AND(Birds!FN43,"AAAAAFr3+nk=")</f>
        <v>#VALUE!</v>
      </c>
      <c r="DS70" t="e">
        <f>AND(Birds!FO43,"AAAAAFr3+no=")</f>
        <v>#VALUE!</v>
      </c>
      <c r="DT70" t="e">
        <f>AND(Birds!FP43,"AAAAAFr3+ns=")</f>
        <v>#VALUE!</v>
      </c>
      <c r="DU70" t="e">
        <f>AND(Birds!FQ43,"AAAAAFr3+nw=")</f>
        <v>#VALUE!</v>
      </c>
      <c r="DV70" t="e">
        <f>AND(Birds!FR43,"AAAAAFr3+n0=")</f>
        <v>#VALUE!</v>
      </c>
      <c r="DW70" t="e">
        <f>AND(Birds!FS43,"AAAAAFr3+n4=")</f>
        <v>#VALUE!</v>
      </c>
      <c r="DX70" t="e">
        <f>AND(Birds!FT43,"AAAAAFr3+n8=")</f>
        <v>#VALUE!</v>
      </c>
      <c r="DY70" t="e">
        <f>AND(Birds!FU43,"AAAAAFr3+oA=")</f>
        <v>#VALUE!</v>
      </c>
      <c r="DZ70" t="e">
        <f>AND(Birds!FV43,"AAAAAFr3+oE=")</f>
        <v>#VALUE!</v>
      </c>
      <c r="EA70" t="e">
        <f>AND(Birds!FW43,"AAAAAFr3+oI=")</f>
        <v>#VALUE!</v>
      </c>
      <c r="EB70" t="e">
        <f>AND(Birds!FX43,"AAAAAFr3+oM=")</f>
        <v>#VALUE!</v>
      </c>
      <c r="EC70" t="e">
        <f>AND(Birds!FY43,"AAAAAFr3+oQ=")</f>
        <v>#VALUE!</v>
      </c>
      <c r="ED70" t="e">
        <f>AND(Birds!FZ43,"AAAAAFr3+oU=")</f>
        <v>#VALUE!</v>
      </c>
      <c r="EE70" t="e">
        <f>AND(Birds!GA43,"AAAAAFr3+oY=")</f>
        <v>#VALUE!</v>
      </c>
      <c r="EF70" t="e">
        <f>AND(Birds!GB43,"AAAAAFr3+oc=")</f>
        <v>#VALUE!</v>
      </c>
      <c r="EG70" t="e">
        <f>AND(Birds!GC43,"AAAAAFr3+og=")</f>
        <v>#VALUE!</v>
      </c>
      <c r="EH70" t="e">
        <f>AND(Birds!GD43,"AAAAAFr3+ok=")</f>
        <v>#VALUE!</v>
      </c>
      <c r="EI70" t="e">
        <f>AND(Birds!GE43,"AAAAAFr3+oo=")</f>
        <v>#VALUE!</v>
      </c>
      <c r="EJ70" t="e">
        <f>AND(Birds!GF43,"AAAAAFr3+os=")</f>
        <v>#VALUE!</v>
      </c>
      <c r="EK70" t="e">
        <f>AND(Birds!GG43,"AAAAAFr3+ow=")</f>
        <v>#VALUE!</v>
      </c>
      <c r="EL70" t="e">
        <f>AND(Birds!GH43,"AAAAAFr3+o0=")</f>
        <v>#VALUE!</v>
      </c>
      <c r="EM70" t="e">
        <f>AND(Birds!GI43,"AAAAAFr3+o4=")</f>
        <v>#VALUE!</v>
      </c>
      <c r="EN70" t="e">
        <f>AND(Birds!GJ43,"AAAAAFr3+o8=")</f>
        <v>#VALUE!</v>
      </c>
      <c r="EO70" t="e">
        <f>AND(Birds!GK43,"AAAAAFr3+pA=")</f>
        <v>#VALUE!</v>
      </c>
      <c r="EP70" t="e">
        <f>AND(Birds!GL43,"AAAAAFr3+pE=")</f>
        <v>#VALUE!</v>
      </c>
      <c r="EQ70" t="e">
        <f>AND(Birds!GM43,"AAAAAFr3+pI=")</f>
        <v>#VALUE!</v>
      </c>
      <c r="ER70">
        <f>IF(Birds!44:44,"AAAAAFr3+pM=",0)</f>
        <v>0</v>
      </c>
      <c r="ES70" t="e">
        <f>AND(Birds!A44,"AAAAAFr3+pQ=")</f>
        <v>#VALUE!</v>
      </c>
      <c r="ET70" t="e">
        <f>AND(Birds!B44,"AAAAAFr3+pU=")</f>
        <v>#VALUE!</v>
      </c>
      <c r="EU70" t="e">
        <f>AND(Birds!C44,"AAAAAFr3+pY=")</f>
        <v>#VALUE!</v>
      </c>
      <c r="EV70" t="e">
        <f>AND(Birds!D44,"AAAAAFr3+pc=")</f>
        <v>#VALUE!</v>
      </c>
      <c r="EW70" t="e">
        <f>AND(Birds!E44,"AAAAAFr3+pg=")</f>
        <v>#VALUE!</v>
      </c>
      <c r="EX70" t="e">
        <f>AND(Birds!F44,"AAAAAFr3+pk=")</f>
        <v>#VALUE!</v>
      </c>
      <c r="EY70" t="e">
        <f>AND(Birds!G44,"AAAAAFr3+po=")</f>
        <v>#VALUE!</v>
      </c>
      <c r="EZ70" t="e">
        <f>AND(Birds!H44,"AAAAAFr3+ps=")</f>
        <v>#VALUE!</v>
      </c>
      <c r="FA70" t="e">
        <f>AND(Birds!I44,"AAAAAFr3+pw=")</f>
        <v>#VALUE!</v>
      </c>
      <c r="FB70" t="e">
        <f>AND(Birds!J44,"AAAAAFr3+p0=")</f>
        <v>#VALUE!</v>
      </c>
      <c r="FC70" t="e">
        <f>AND(Birds!K44,"AAAAAFr3+p4=")</f>
        <v>#VALUE!</v>
      </c>
      <c r="FD70" t="e">
        <f>AND(Birds!L44,"AAAAAFr3+p8=")</f>
        <v>#VALUE!</v>
      </c>
      <c r="FE70" t="e">
        <f>AND(Birds!M44,"AAAAAFr3+qA=")</f>
        <v>#VALUE!</v>
      </c>
      <c r="FF70" t="e">
        <f>AND(Birds!N44,"AAAAAFr3+qE=")</f>
        <v>#VALUE!</v>
      </c>
      <c r="FG70" t="e">
        <f>AND(Birds!O44,"AAAAAFr3+qI=")</f>
        <v>#VALUE!</v>
      </c>
      <c r="FH70" t="e">
        <f>AND(Birds!P44,"AAAAAFr3+qM=")</f>
        <v>#VALUE!</v>
      </c>
      <c r="FI70" t="e">
        <f>AND(Birds!Q44,"AAAAAFr3+qQ=")</f>
        <v>#VALUE!</v>
      </c>
      <c r="FJ70" t="e">
        <f>AND(Birds!R44,"AAAAAFr3+qU=")</f>
        <v>#VALUE!</v>
      </c>
      <c r="FK70" t="e">
        <f>AND(Birds!S44,"AAAAAFr3+qY=")</f>
        <v>#VALUE!</v>
      </c>
      <c r="FL70" t="e">
        <f>AND(Birds!T44,"AAAAAFr3+qc=")</f>
        <v>#VALUE!</v>
      </c>
      <c r="FM70" t="e">
        <f>AND(Birds!U44,"AAAAAFr3+qg=")</f>
        <v>#VALUE!</v>
      </c>
      <c r="FN70" t="e">
        <f>AND(Birds!V44,"AAAAAFr3+qk=")</f>
        <v>#VALUE!</v>
      </c>
      <c r="FO70" t="e">
        <f>AND(Birds!W44,"AAAAAFr3+qo=")</f>
        <v>#VALUE!</v>
      </c>
      <c r="FP70" t="e">
        <f>AND(Birds!X44,"AAAAAFr3+qs=")</f>
        <v>#VALUE!</v>
      </c>
      <c r="FQ70" t="e">
        <f>AND(Birds!Y44,"AAAAAFr3+qw=")</f>
        <v>#VALUE!</v>
      </c>
      <c r="FR70" t="e">
        <f>AND(Birds!Z44,"AAAAAFr3+q0=")</f>
        <v>#VALUE!</v>
      </c>
      <c r="FS70" t="e">
        <f>AND(Birds!AA44,"AAAAAFr3+q4=")</f>
        <v>#VALUE!</v>
      </c>
      <c r="FT70" t="e">
        <f>AND(Birds!AB44,"AAAAAFr3+q8=")</f>
        <v>#VALUE!</v>
      </c>
      <c r="FU70" t="e">
        <f>AND(Birds!AC44,"AAAAAFr3+rA=")</f>
        <v>#VALUE!</v>
      </c>
      <c r="FV70" t="e">
        <f>AND(Birds!AD44,"AAAAAFr3+rE=")</f>
        <v>#VALUE!</v>
      </c>
      <c r="FW70" t="e">
        <f>AND(Birds!AE44,"AAAAAFr3+rI=")</f>
        <v>#VALUE!</v>
      </c>
      <c r="FX70" t="e">
        <f>AND(Birds!AF44,"AAAAAFr3+rM=")</f>
        <v>#VALUE!</v>
      </c>
      <c r="FY70" t="e">
        <f>AND(Birds!AG44,"AAAAAFr3+rQ=")</f>
        <v>#VALUE!</v>
      </c>
      <c r="FZ70" t="e">
        <f>AND(Birds!AH44,"AAAAAFr3+rU=")</f>
        <v>#VALUE!</v>
      </c>
      <c r="GA70" t="e">
        <f>AND(Birds!AI44,"AAAAAFr3+rY=")</f>
        <v>#VALUE!</v>
      </c>
      <c r="GB70" t="e">
        <f>AND(Birds!AJ44,"AAAAAFr3+rc=")</f>
        <v>#VALUE!</v>
      </c>
      <c r="GC70" t="e">
        <f>AND(Birds!AK44,"AAAAAFr3+rg=")</f>
        <v>#VALUE!</v>
      </c>
      <c r="GD70" t="e">
        <f>AND(Birds!AL44,"AAAAAFr3+rk=")</f>
        <v>#VALUE!</v>
      </c>
      <c r="GE70" t="e">
        <f>AND(Birds!AM44,"AAAAAFr3+ro=")</f>
        <v>#VALUE!</v>
      </c>
      <c r="GF70" t="e">
        <f>AND(Birds!AN44,"AAAAAFr3+rs=")</f>
        <v>#VALUE!</v>
      </c>
      <c r="GG70" t="e">
        <f>AND(Birds!AO44,"AAAAAFr3+rw=")</f>
        <v>#VALUE!</v>
      </c>
      <c r="GH70" t="e">
        <f>AND(Birds!AP44,"AAAAAFr3+r0=")</f>
        <v>#VALUE!</v>
      </c>
      <c r="GI70" t="e">
        <f>AND(Birds!AQ44,"AAAAAFr3+r4=")</f>
        <v>#VALUE!</v>
      </c>
      <c r="GJ70" t="e">
        <f>AND(Birds!AR44,"AAAAAFr3+r8=")</f>
        <v>#VALUE!</v>
      </c>
      <c r="GK70" t="e">
        <f>AND(Birds!AS44,"AAAAAFr3+sA=")</f>
        <v>#VALUE!</v>
      </c>
      <c r="GL70" t="e">
        <f>AND(Birds!AT44,"AAAAAFr3+sE=")</f>
        <v>#VALUE!</v>
      </c>
      <c r="GM70" t="e">
        <f>AND(Birds!AU44,"AAAAAFr3+sI=")</f>
        <v>#VALUE!</v>
      </c>
      <c r="GN70" t="e">
        <f>AND(Birds!AV44,"AAAAAFr3+sM=")</f>
        <v>#VALUE!</v>
      </c>
      <c r="GO70" t="e">
        <f>AND(Birds!AW44,"AAAAAFr3+sQ=")</f>
        <v>#VALUE!</v>
      </c>
      <c r="GP70" t="e">
        <f>AND(Birds!AX44,"AAAAAFr3+sU=")</f>
        <v>#VALUE!</v>
      </c>
      <c r="GQ70" t="e">
        <f>AND(Birds!AY44,"AAAAAFr3+sY=")</f>
        <v>#VALUE!</v>
      </c>
      <c r="GR70" t="e">
        <f>AND(Birds!AZ44,"AAAAAFr3+sc=")</f>
        <v>#VALUE!</v>
      </c>
      <c r="GS70" t="e">
        <f>AND(Birds!BA44,"AAAAAFr3+sg=")</f>
        <v>#VALUE!</v>
      </c>
      <c r="GT70" t="e">
        <f>AND(Birds!BB44,"AAAAAFr3+sk=")</f>
        <v>#VALUE!</v>
      </c>
      <c r="GU70" t="e">
        <f>AND(Birds!BC44,"AAAAAFr3+so=")</f>
        <v>#VALUE!</v>
      </c>
      <c r="GV70" t="e">
        <f>AND(Birds!BD44,"AAAAAFr3+ss=")</f>
        <v>#VALUE!</v>
      </c>
      <c r="GW70" t="e">
        <f>AND(Birds!BE44,"AAAAAFr3+sw=")</f>
        <v>#VALUE!</v>
      </c>
      <c r="GX70" t="e">
        <f>AND(Birds!BF44,"AAAAAFr3+s0=")</f>
        <v>#VALUE!</v>
      </c>
      <c r="GY70" t="e">
        <f>AND(Birds!BG44,"AAAAAFr3+s4=")</f>
        <v>#VALUE!</v>
      </c>
      <c r="GZ70" t="e">
        <f>AND(Birds!BH44,"AAAAAFr3+s8=")</f>
        <v>#VALUE!</v>
      </c>
      <c r="HA70" t="e">
        <f>AND(Birds!BI44,"AAAAAFr3+tA=")</f>
        <v>#VALUE!</v>
      </c>
      <c r="HB70" t="e">
        <f>AND(Birds!BJ44,"AAAAAFr3+tE=")</f>
        <v>#VALUE!</v>
      </c>
      <c r="HC70" t="e">
        <f>AND(Birds!BK44,"AAAAAFr3+tI=")</f>
        <v>#VALUE!</v>
      </c>
      <c r="HD70" t="e">
        <f>AND(Birds!BL44,"AAAAAFr3+tM=")</f>
        <v>#VALUE!</v>
      </c>
      <c r="HE70" t="e">
        <f>AND(Birds!BM44,"AAAAAFr3+tQ=")</f>
        <v>#VALUE!</v>
      </c>
      <c r="HF70" t="e">
        <f>AND(Birds!BN44,"AAAAAFr3+tU=")</f>
        <v>#VALUE!</v>
      </c>
      <c r="HG70" t="e">
        <f>AND(Birds!BO44,"AAAAAFr3+tY=")</f>
        <v>#VALUE!</v>
      </c>
      <c r="HH70" t="e">
        <f>AND(Birds!BP44,"AAAAAFr3+tc=")</f>
        <v>#VALUE!</v>
      </c>
      <c r="HI70" t="e">
        <f>AND(Birds!BQ44,"AAAAAFr3+tg=")</f>
        <v>#VALUE!</v>
      </c>
      <c r="HJ70" t="e">
        <f>AND(Birds!BR44,"AAAAAFr3+tk=")</f>
        <v>#VALUE!</v>
      </c>
      <c r="HK70" t="e">
        <f>AND(Birds!BS44,"AAAAAFr3+to=")</f>
        <v>#VALUE!</v>
      </c>
      <c r="HL70" t="e">
        <f>AND(Birds!BT44,"AAAAAFr3+ts=")</f>
        <v>#VALUE!</v>
      </c>
      <c r="HM70" t="e">
        <f>AND(Birds!BU44,"AAAAAFr3+tw=")</f>
        <v>#VALUE!</v>
      </c>
      <c r="HN70" t="e">
        <f>AND(Birds!BV44,"AAAAAFr3+t0=")</f>
        <v>#VALUE!</v>
      </c>
      <c r="HO70" t="e">
        <f>AND(Birds!BW44,"AAAAAFr3+t4=")</f>
        <v>#VALUE!</v>
      </c>
      <c r="HP70" t="e">
        <f>AND(Birds!BX44,"AAAAAFr3+t8=")</f>
        <v>#VALUE!</v>
      </c>
      <c r="HQ70" t="e">
        <f>AND(Birds!BY44,"AAAAAFr3+uA=")</f>
        <v>#VALUE!</v>
      </c>
      <c r="HR70" t="e">
        <f>AND(Birds!BZ44,"AAAAAFr3+uE=")</f>
        <v>#VALUE!</v>
      </c>
      <c r="HS70" t="e">
        <f>AND(Birds!CA44,"AAAAAFr3+uI=")</f>
        <v>#VALUE!</v>
      </c>
      <c r="HT70" t="e">
        <f>AND(Birds!CB44,"AAAAAFr3+uM=")</f>
        <v>#VALUE!</v>
      </c>
      <c r="HU70" t="e">
        <f>AND(Birds!CC44,"AAAAAFr3+uQ=")</f>
        <v>#VALUE!</v>
      </c>
      <c r="HV70" t="e">
        <f>AND(Birds!CD44,"AAAAAFr3+uU=")</f>
        <v>#VALUE!</v>
      </c>
      <c r="HW70" t="e">
        <f>AND(Birds!CE44,"AAAAAFr3+uY=")</f>
        <v>#VALUE!</v>
      </c>
      <c r="HX70" t="e">
        <f>AND(Birds!CF44,"AAAAAFr3+uc=")</f>
        <v>#VALUE!</v>
      </c>
      <c r="HY70" t="e">
        <f>AND(Birds!CG44,"AAAAAFr3+ug=")</f>
        <v>#VALUE!</v>
      </c>
      <c r="HZ70" t="e">
        <f>AND(Birds!CH44,"AAAAAFr3+uk=")</f>
        <v>#VALUE!</v>
      </c>
      <c r="IA70" t="e">
        <f>AND(Birds!CI44,"AAAAAFr3+uo=")</f>
        <v>#VALUE!</v>
      </c>
      <c r="IB70" t="e">
        <f>AND(Birds!CJ44,"AAAAAFr3+us=")</f>
        <v>#VALUE!</v>
      </c>
      <c r="IC70" t="e">
        <f>AND(Birds!CK44,"AAAAAFr3+uw=")</f>
        <v>#VALUE!</v>
      </c>
      <c r="ID70" t="e">
        <f>AND(Birds!CL44,"AAAAAFr3+u0=")</f>
        <v>#VALUE!</v>
      </c>
      <c r="IE70" t="e">
        <f>AND(Birds!CM44,"AAAAAFr3+u4=")</f>
        <v>#VALUE!</v>
      </c>
      <c r="IF70" t="e">
        <f>AND(Birds!CN44,"AAAAAFr3+u8=")</f>
        <v>#VALUE!</v>
      </c>
      <c r="IG70" t="e">
        <f>AND(Birds!CO44,"AAAAAFr3+vA=")</f>
        <v>#VALUE!</v>
      </c>
      <c r="IH70" t="e">
        <f>AND(Birds!CP44,"AAAAAFr3+vE=")</f>
        <v>#VALUE!</v>
      </c>
      <c r="II70" t="e">
        <f>AND(Birds!CQ44,"AAAAAFr3+vI=")</f>
        <v>#VALUE!</v>
      </c>
      <c r="IJ70" t="e">
        <f>AND(Birds!CR44,"AAAAAFr3+vM=")</f>
        <v>#VALUE!</v>
      </c>
      <c r="IK70" t="e">
        <f>AND(Birds!CS44,"AAAAAFr3+vQ=")</f>
        <v>#VALUE!</v>
      </c>
      <c r="IL70" t="e">
        <f>AND(Birds!CT44,"AAAAAFr3+vU=")</f>
        <v>#VALUE!</v>
      </c>
      <c r="IM70" t="e">
        <f>AND(Birds!CU44,"AAAAAFr3+vY=")</f>
        <v>#VALUE!</v>
      </c>
      <c r="IN70" t="e">
        <f>AND(Birds!CV44,"AAAAAFr3+vc=")</f>
        <v>#VALUE!</v>
      </c>
      <c r="IO70" t="e">
        <f>AND(Birds!CW44,"AAAAAFr3+vg=")</f>
        <v>#VALUE!</v>
      </c>
      <c r="IP70" t="e">
        <f>AND(Birds!CX44,"AAAAAFr3+vk=")</f>
        <v>#VALUE!</v>
      </c>
      <c r="IQ70" t="e">
        <f>AND(Birds!CY44,"AAAAAFr3+vo=")</f>
        <v>#VALUE!</v>
      </c>
      <c r="IR70" t="e">
        <f>AND(Birds!CZ44,"AAAAAFr3+vs=")</f>
        <v>#VALUE!</v>
      </c>
      <c r="IS70" t="e">
        <f>AND(Birds!DA44,"AAAAAFr3+vw=")</f>
        <v>#VALUE!</v>
      </c>
      <c r="IT70" t="e">
        <f>AND(Birds!DB44,"AAAAAFr3+v0=")</f>
        <v>#VALUE!</v>
      </c>
      <c r="IU70" t="e">
        <f>AND(Birds!DC44,"AAAAAFr3+v4=")</f>
        <v>#VALUE!</v>
      </c>
      <c r="IV70" t="e">
        <f>AND(Birds!DD44,"AAAAAFr3+v8=")</f>
        <v>#VALUE!</v>
      </c>
    </row>
    <row r="71" spans="1:256">
      <c r="A71" t="e">
        <f>AND(Birds!DE44,"AAAAAH239wA=")</f>
        <v>#VALUE!</v>
      </c>
      <c r="B71" t="e">
        <f>AND(Birds!DF44,"AAAAAH239wE=")</f>
        <v>#VALUE!</v>
      </c>
      <c r="C71" t="e">
        <f>AND(Birds!DG44,"AAAAAH239wI=")</f>
        <v>#VALUE!</v>
      </c>
      <c r="D71" t="e">
        <f>AND(Birds!DH44,"AAAAAH239wM=")</f>
        <v>#VALUE!</v>
      </c>
      <c r="E71" t="e">
        <f>AND(Birds!DI44,"AAAAAH239wQ=")</f>
        <v>#VALUE!</v>
      </c>
      <c r="F71" t="e">
        <f>AND(Birds!DJ44,"AAAAAH239wU=")</f>
        <v>#VALUE!</v>
      </c>
      <c r="G71" t="e">
        <f>AND(Birds!DK44,"AAAAAH239wY=")</f>
        <v>#VALUE!</v>
      </c>
      <c r="H71" t="e">
        <f>AND(Birds!DL44,"AAAAAH239wc=")</f>
        <v>#VALUE!</v>
      </c>
      <c r="I71" t="e">
        <f>AND(Birds!DM44,"AAAAAH239wg=")</f>
        <v>#VALUE!</v>
      </c>
      <c r="J71" t="e">
        <f>AND(Birds!DN44,"AAAAAH239wk=")</f>
        <v>#VALUE!</v>
      </c>
      <c r="K71" t="e">
        <f>AND(Birds!DO44,"AAAAAH239wo=")</f>
        <v>#VALUE!</v>
      </c>
      <c r="L71" t="e">
        <f>AND(Birds!DP44,"AAAAAH239ws=")</f>
        <v>#VALUE!</v>
      </c>
      <c r="M71" t="e">
        <f>AND(Birds!DQ44,"AAAAAH239ww=")</f>
        <v>#VALUE!</v>
      </c>
      <c r="N71" t="e">
        <f>AND(Birds!DR44,"AAAAAH239w0=")</f>
        <v>#VALUE!</v>
      </c>
      <c r="O71" t="e">
        <f>AND(Birds!DS44,"AAAAAH239w4=")</f>
        <v>#VALUE!</v>
      </c>
      <c r="P71" t="e">
        <f>AND(Birds!DT44,"AAAAAH239w8=")</f>
        <v>#VALUE!</v>
      </c>
      <c r="Q71" t="e">
        <f>AND(Birds!DU44,"AAAAAH239xA=")</f>
        <v>#VALUE!</v>
      </c>
      <c r="R71" t="e">
        <f>AND(Birds!DV44,"AAAAAH239xE=")</f>
        <v>#VALUE!</v>
      </c>
      <c r="S71" t="e">
        <f>AND(Birds!DW44,"AAAAAH239xI=")</f>
        <v>#VALUE!</v>
      </c>
      <c r="T71" t="e">
        <f>AND(Birds!DX44,"AAAAAH239xM=")</f>
        <v>#VALUE!</v>
      </c>
      <c r="U71" t="e">
        <f>AND(Birds!DY44,"AAAAAH239xQ=")</f>
        <v>#VALUE!</v>
      </c>
      <c r="V71" t="e">
        <f>AND(Birds!DZ44,"AAAAAH239xU=")</f>
        <v>#VALUE!</v>
      </c>
      <c r="W71" t="e">
        <f>AND(Birds!EA44,"AAAAAH239xY=")</f>
        <v>#VALUE!</v>
      </c>
      <c r="X71" t="e">
        <f>AND(Birds!EB44,"AAAAAH239xc=")</f>
        <v>#VALUE!</v>
      </c>
      <c r="Y71" t="e">
        <f>AND(Birds!EC44,"AAAAAH239xg=")</f>
        <v>#VALUE!</v>
      </c>
      <c r="Z71" t="e">
        <f>AND(Birds!ED44,"AAAAAH239xk=")</f>
        <v>#VALUE!</v>
      </c>
      <c r="AA71" t="e">
        <f>AND(Birds!EE44,"AAAAAH239xo=")</f>
        <v>#VALUE!</v>
      </c>
      <c r="AB71" t="e">
        <f>AND(Birds!EF44,"AAAAAH239xs=")</f>
        <v>#VALUE!</v>
      </c>
      <c r="AC71" t="e">
        <f>AND(Birds!EG44,"AAAAAH239xw=")</f>
        <v>#VALUE!</v>
      </c>
      <c r="AD71" t="e">
        <f>AND(Birds!EH44,"AAAAAH239x0=")</f>
        <v>#VALUE!</v>
      </c>
      <c r="AE71" t="e">
        <f>AND(Birds!EI44,"AAAAAH239x4=")</f>
        <v>#VALUE!</v>
      </c>
      <c r="AF71" t="e">
        <f>AND(Birds!EJ44,"AAAAAH239x8=")</f>
        <v>#VALUE!</v>
      </c>
      <c r="AG71" t="e">
        <f>AND(Birds!EK44,"AAAAAH239yA=")</f>
        <v>#VALUE!</v>
      </c>
      <c r="AH71" t="e">
        <f>AND(Birds!EL44,"AAAAAH239yE=")</f>
        <v>#VALUE!</v>
      </c>
      <c r="AI71" t="e">
        <f>AND(Birds!EM44,"AAAAAH239yI=")</f>
        <v>#VALUE!</v>
      </c>
      <c r="AJ71" t="e">
        <f>AND(Birds!EN44,"AAAAAH239yM=")</f>
        <v>#VALUE!</v>
      </c>
      <c r="AK71" t="e">
        <f>AND(Birds!EO44,"AAAAAH239yQ=")</f>
        <v>#VALUE!</v>
      </c>
      <c r="AL71" t="e">
        <f>AND(Birds!EP44,"AAAAAH239yU=")</f>
        <v>#VALUE!</v>
      </c>
      <c r="AM71" t="e">
        <f>AND(Birds!EQ44,"AAAAAH239yY=")</f>
        <v>#VALUE!</v>
      </c>
      <c r="AN71" t="e">
        <f>AND(Birds!ER44,"AAAAAH239yc=")</f>
        <v>#VALUE!</v>
      </c>
      <c r="AO71" t="e">
        <f>AND(Birds!ES44,"AAAAAH239yg=")</f>
        <v>#VALUE!</v>
      </c>
      <c r="AP71" t="e">
        <f>AND(Birds!ET44,"AAAAAH239yk=")</f>
        <v>#VALUE!</v>
      </c>
      <c r="AQ71" t="e">
        <f>AND(Birds!EU44,"AAAAAH239yo=")</f>
        <v>#VALUE!</v>
      </c>
      <c r="AR71" t="e">
        <f>AND(Birds!EV44,"AAAAAH239ys=")</f>
        <v>#VALUE!</v>
      </c>
      <c r="AS71" t="e">
        <f>AND(Birds!EW44,"AAAAAH239yw=")</f>
        <v>#VALUE!</v>
      </c>
      <c r="AT71" t="e">
        <f>AND(Birds!EX44,"AAAAAH239y0=")</f>
        <v>#VALUE!</v>
      </c>
      <c r="AU71" t="e">
        <f>AND(Birds!EY44,"AAAAAH239y4=")</f>
        <v>#VALUE!</v>
      </c>
      <c r="AV71" t="e">
        <f>AND(Birds!EZ44,"AAAAAH239y8=")</f>
        <v>#VALUE!</v>
      </c>
      <c r="AW71" t="e">
        <f>AND(Birds!FA44,"AAAAAH239zA=")</f>
        <v>#VALUE!</v>
      </c>
      <c r="AX71" t="e">
        <f>AND(Birds!FB44,"AAAAAH239zE=")</f>
        <v>#VALUE!</v>
      </c>
      <c r="AY71" t="e">
        <f>AND(Birds!FC44,"AAAAAH239zI=")</f>
        <v>#VALUE!</v>
      </c>
      <c r="AZ71" t="e">
        <f>AND(Birds!FD44,"AAAAAH239zM=")</f>
        <v>#VALUE!</v>
      </c>
      <c r="BA71" t="e">
        <f>AND(Birds!FE44,"AAAAAH239zQ=")</f>
        <v>#VALUE!</v>
      </c>
      <c r="BB71" t="e">
        <f>AND(Birds!FF44,"AAAAAH239zU=")</f>
        <v>#VALUE!</v>
      </c>
      <c r="BC71" t="e">
        <f>AND(Birds!FG44,"AAAAAH239zY=")</f>
        <v>#VALUE!</v>
      </c>
      <c r="BD71" t="e">
        <f>AND(Birds!FH44,"AAAAAH239zc=")</f>
        <v>#VALUE!</v>
      </c>
      <c r="BE71" t="e">
        <f>AND(Birds!FI44,"AAAAAH239zg=")</f>
        <v>#VALUE!</v>
      </c>
      <c r="BF71" t="e">
        <f>AND(Birds!FJ44,"AAAAAH239zk=")</f>
        <v>#VALUE!</v>
      </c>
      <c r="BG71" t="e">
        <f>AND(Birds!FK44,"AAAAAH239zo=")</f>
        <v>#VALUE!</v>
      </c>
      <c r="BH71" t="e">
        <f>AND(Birds!FL44,"AAAAAH239zs=")</f>
        <v>#VALUE!</v>
      </c>
      <c r="BI71" t="e">
        <f>AND(Birds!FM44,"AAAAAH239zw=")</f>
        <v>#VALUE!</v>
      </c>
      <c r="BJ71" t="e">
        <f>AND(Birds!FN44,"AAAAAH239z0=")</f>
        <v>#VALUE!</v>
      </c>
      <c r="BK71" t="e">
        <f>AND(Birds!FO44,"AAAAAH239z4=")</f>
        <v>#VALUE!</v>
      </c>
      <c r="BL71" t="e">
        <f>AND(Birds!FP44,"AAAAAH239z8=")</f>
        <v>#VALUE!</v>
      </c>
      <c r="BM71" t="e">
        <f>AND(Birds!FQ44,"AAAAAH2390A=")</f>
        <v>#VALUE!</v>
      </c>
      <c r="BN71" t="e">
        <f>AND(Birds!FR44,"AAAAAH2390E=")</f>
        <v>#VALUE!</v>
      </c>
      <c r="BO71" t="e">
        <f>AND(Birds!FS44,"AAAAAH2390I=")</f>
        <v>#VALUE!</v>
      </c>
      <c r="BP71" t="e">
        <f>AND(Birds!FT44,"AAAAAH2390M=")</f>
        <v>#VALUE!</v>
      </c>
      <c r="BQ71" t="e">
        <f>AND(Birds!FU44,"AAAAAH2390Q=")</f>
        <v>#VALUE!</v>
      </c>
      <c r="BR71" t="e">
        <f>AND(Birds!FV44,"AAAAAH2390U=")</f>
        <v>#VALUE!</v>
      </c>
      <c r="BS71" t="e">
        <f>AND(Birds!FW44,"AAAAAH2390Y=")</f>
        <v>#VALUE!</v>
      </c>
      <c r="BT71" t="e">
        <f>AND(Birds!FX44,"AAAAAH2390c=")</f>
        <v>#VALUE!</v>
      </c>
      <c r="BU71" t="e">
        <f>AND(Birds!FY44,"AAAAAH2390g=")</f>
        <v>#VALUE!</v>
      </c>
      <c r="BV71" t="e">
        <f>AND(Birds!FZ44,"AAAAAH2390k=")</f>
        <v>#VALUE!</v>
      </c>
      <c r="BW71" t="e">
        <f>AND(Birds!GA44,"AAAAAH2390o=")</f>
        <v>#VALUE!</v>
      </c>
      <c r="BX71" t="e">
        <f>AND(Birds!GB44,"AAAAAH2390s=")</f>
        <v>#VALUE!</v>
      </c>
      <c r="BY71" t="e">
        <f>AND(Birds!GC44,"AAAAAH2390w=")</f>
        <v>#VALUE!</v>
      </c>
      <c r="BZ71" t="e">
        <f>AND(Birds!GD44,"AAAAAH23900=")</f>
        <v>#VALUE!</v>
      </c>
      <c r="CA71" t="e">
        <f>AND(Birds!GE44,"AAAAAH23904=")</f>
        <v>#VALUE!</v>
      </c>
      <c r="CB71" t="e">
        <f>AND(Birds!GF44,"AAAAAH23908=")</f>
        <v>#VALUE!</v>
      </c>
      <c r="CC71" t="e">
        <f>AND(Birds!GG44,"AAAAAH2391A=")</f>
        <v>#VALUE!</v>
      </c>
      <c r="CD71" t="e">
        <f>AND(Birds!GH44,"AAAAAH2391E=")</f>
        <v>#VALUE!</v>
      </c>
      <c r="CE71" t="e">
        <f>AND(Birds!GI44,"AAAAAH2391I=")</f>
        <v>#VALUE!</v>
      </c>
      <c r="CF71" t="e">
        <f>AND(Birds!GJ44,"AAAAAH2391M=")</f>
        <v>#VALUE!</v>
      </c>
      <c r="CG71" t="e">
        <f>AND(Birds!GK44,"AAAAAH2391Q=")</f>
        <v>#VALUE!</v>
      </c>
      <c r="CH71" t="e">
        <f>AND(Birds!GL44,"AAAAAH2391U=")</f>
        <v>#VALUE!</v>
      </c>
      <c r="CI71" t="e">
        <f>AND(Birds!GM44,"AAAAAH2391Y=")</f>
        <v>#VALUE!</v>
      </c>
      <c r="CJ71">
        <f>IF(Birds!45:45,"AAAAAH2391c=",0)</f>
        <v>0</v>
      </c>
      <c r="CK71" t="e">
        <f>AND(Birds!A45,"AAAAAH2391g=")</f>
        <v>#VALUE!</v>
      </c>
      <c r="CL71" t="e">
        <f>AND(Birds!B45,"AAAAAH2391k=")</f>
        <v>#VALUE!</v>
      </c>
      <c r="CM71" t="e">
        <f>AND(Birds!C45,"AAAAAH2391o=")</f>
        <v>#VALUE!</v>
      </c>
      <c r="CN71" t="e">
        <f>AND(Birds!D45,"AAAAAH2391s=")</f>
        <v>#VALUE!</v>
      </c>
      <c r="CO71" t="e">
        <f>AND(Birds!E45,"AAAAAH2391w=")</f>
        <v>#VALUE!</v>
      </c>
      <c r="CP71" t="e">
        <f>AND(Birds!F45,"AAAAAH23910=")</f>
        <v>#VALUE!</v>
      </c>
      <c r="CQ71" t="e">
        <f>AND(Birds!G45,"AAAAAH23914=")</f>
        <v>#VALUE!</v>
      </c>
      <c r="CR71" t="e">
        <f>AND(Birds!H45,"AAAAAH23918=")</f>
        <v>#VALUE!</v>
      </c>
      <c r="CS71" t="e">
        <f>AND(Birds!I45,"AAAAAH2392A=")</f>
        <v>#VALUE!</v>
      </c>
      <c r="CT71" t="e">
        <f>AND(Birds!J45,"AAAAAH2392E=")</f>
        <v>#VALUE!</v>
      </c>
      <c r="CU71" t="e">
        <f>AND(Birds!K45,"AAAAAH2392I=")</f>
        <v>#VALUE!</v>
      </c>
      <c r="CV71" t="e">
        <f>AND(Birds!L45,"AAAAAH2392M=")</f>
        <v>#VALUE!</v>
      </c>
      <c r="CW71" t="e">
        <f>AND(Birds!M45,"AAAAAH2392Q=")</f>
        <v>#VALUE!</v>
      </c>
      <c r="CX71" t="e">
        <f>AND(Birds!N45,"AAAAAH2392U=")</f>
        <v>#VALUE!</v>
      </c>
      <c r="CY71" t="e">
        <f>AND(Birds!O45,"AAAAAH2392Y=")</f>
        <v>#VALUE!</v>
      </c>
      <c r="CZ71" t="e">
        <f>AND(Birds!P45,"AAAAAH2392c=")</f>
        <v>#VALUE!</v>
      </c>
      <c r="DA71" t="e">
        <f>AND(Birds!Q45,"AAAAAH2392g=")</f>
        <v>#VALUE!</v>
      </c>
      <c r="DB71" t="e">
        <f>AND(Birds!R45,"AAAAAH2392k=")</f>
        <v>#VALUE!</v>
      </c>
      <c r="DC71" t="e">
        <f>AND(Birds!S45,"AAAAAH2392o=")</f>
        <v>#VALUE!</v>
      </c>
      <c r="DD71" t="e">
        <f>AND(Birds!T45,"AAAAAH2392s=")</f>
        <v>#VALUE!</v>
      </c>
      <c r="DE71" t="e">
        <f>AND(Birds!U45,"AAAAAH2392w=")</f>
        <v>#VALUE!</v>
      </c>
      <c r="DF71" t="e">
        <f>AND(Birds!V45,"AAAAAH23920=")</f>
        <v>#VALUE!</v>
      </c>
      <c r="DG71" t="e">
        <f>AND(Birds!W45,"AAAAAH23924=")</f>
        <v>#VALUE!</v>
      </c>
      <c r="DH71" t="e">
        <f>AND(Birds!X45,"AAAAAH23928=")</f>
        <v>#VALUE!</v>
      </c>
      <c r="DI71" t="e">
        <f>AND(Birds!Y45,"AAAAAH2393A=")</f>
        <v>#VALUE!</v>
      </c>
      <c r="DJ71" t="e">
        <f>AND(Birds!Z45,"AAAAAH2393E=")</f>
        <v>#VALUE!</v>
      </c>
      <c r="DK71" t="e">
        <f>AND(Birds!AA45,"AAAAAH2393I=")</f>
        <v>#VALUE!</v>
      </c>
      <c r="DL71" t="e">
        <f>AND(Birds!AB45,"AAAAAH2393M=")</f>
        <v>#VALUE!</v>
      </c>
      <c r="DM71" t="e">
        <f>AND(Birds!AC45,"AAAAAH2393Q=")</f>
        <v>#VALUE!</v>
      </c>
      <c r="DN71" t="e">
        <f>AND(Birds!AD45,"AAAAAH2393U=")</f>
        <v>#VALUE!</v>
      </c>
      <c r="DO71" t="e">
        <f>AND(Birds!AE45,"AAAAAH2393Y=")</f>
        <v>#VALUE!</v>
      </c>
      <c r="DP71" t="e">
        <f>AND(Birds!AF45,"AAAAAH2393c=")</f>
        <v>#VALUE!</v>
      </c>
      <c r="DQ71" t="e">
        <f>AND(Birds!AG45,"AAAAAH2393g=")</f>
        <v>#VALUE!</v>
      </c>
      <c r="DR71" t="e">
        <f>AND(Birds!AH45,"AAAAAH2393k=")</f>
        <v>#VALUE!</v>
      </c>
      <c r="DS71" t="e">
        <f>AND(Birds!AI45,"AAAAAH2393o=")</f>
        <v>#VALUE!</v>
      </c>
      <c r="DT71" t="e">
        <f>AND(Birds!AJ45,"AAAAAH2393s=")</f>
        <v>#VALUE!</v>
      </c>
      <c r="DU71" t="e">
        <f>AND(Birds!AK45,"AAAAAH2393w=")</f>
        <v>#VALUE!</v>
      </c>
      <c r="DV71" t="e">
        <f>AND(Birds!AL45,"AAAAAH23930=")</f>
        <v>#VALUE!</v>
      </c>
      <c r="DW71" t="e">
        <f>AND(Birds!AM45,"AAAAAH23934=")</f>
        <v>#VALUE!</v>
      </c>
      <c r="DX71" t="e">
        <f>AND(Birds!AN45,"AAAAAH23938=")</f>
        <v>#VALUE!</v>
      </c>
      <c r="DY71" t="e">
        <f>AND(Birds!AO45,"AAAAAH2394A=")</f>
        <v>#VALUE!</v>
      </c>
      <c r="DZ71" t="e">
        <f>AND(Birds!AP45,"AAAAAH2394E=")</f>
        <v>#VALUE!</v>
      </c>
      <c r="EA71" t="e">
        <f>AND(Birds!AQ45,"AAAAAH2394I=")</f>
        <v>#VALUE!</v>
      </c>
      <c r="EB71" t="e">
        <f>AND(Birds!AR45,"AAAAAH2394M=")</f>
        <v>#VALUE!</v>
      </c>
      <c r="EC71" t="e">
        <f>AND(Birds!AS45,"AAAAAH2394Q=")</f>
        <v>#VALUE!</v>
      </c>
      <c r="ED71" t="e">
        <f>AND(Birds!AT45,"AAAAAH2394U=")</f>
        <v>#VALUE!</v>
      </c>
      <c r="EE71" t="e">
        <f>AND(Birds!AU45,"AAAAAH2394Y=")</f>
        <v>#VALUE!</v>
      </c>
      <c r="EF71" t="e">
        <f>AND(Birds!AV45,"AAAAAH2394c=")</f>
        <v>#VALUE!</v>
      </c>
      <c r="EG71" t="e">
        <f>AND(Birds!AW45,"AAAAAH2394g=")</f>
        <v>#VALUE!</v>
      </c>
      <c r="EH71" t="e">
        <f>AND(Birds!AX45,"AAAAAH2394k=")</f>
        <v>#VALUE!</v>
      </c>
      <c r="EI71" t="e">
        <f>AND(Birds!AY45,"AAAAAH2394o=")</f>
        <v>#VALUE!</v>
      </c>
      <c r="EJ71" t="e">
        <f>AND(Birds!AZ45,"AAAAAH2394s=")</f>
        <v>#VALUE!</v>
      </c>
      <c r="EK71" t="e">
        <f>AND(Birds!BA45,"AAAAAH2394w=")</f>
        <v>#VALUE!</v>
      </c>
      <c r="EL71" t="e">
        <f>AND(Birds!BB45,"AAAAAH23940=")</f>
        <v>#VALUE!</v>
      </c>
      <c r="EM71" t="e">
        <f>AND(Birds!BC45,"AAAAAH23944=")</f>
        <v>#VALUE!</v>
      </c>
      <c r="EN71" t="e">
        <f>AND(Birds!BD45,"AAAAAH23948=")</f>
        <v>#VALUE!</v>
      </c>
      <c r="EO71" t="e">
        <f>AND(Birds!BE45,"AAAAAH2395A=")</f>
        <v>#VALUE!</v>
      </c>
      <c r="EP71" t="e">
        <f>AND(Birds!BF45,"AAAAAH2395E=")</f>
        <v>#VALUE!</v>
      </c>
      <c r="EQ71" t="e">
        <f>AND(Birds!BG45,"AAAAAH2395I=")</f>
        <v>#VALUE!</v>
      </c>
      <c r="ER71" t="e">
        <f>AND(Birds!BH45,"AAAAAH2395M=")</f>
        <v>#VALUE!</v>
      </c>
      <c r="ES71" t="e">
        <f>AND(Birds!BI45,"AAAAAH2395Q=")</f>
        <v>#VALUE!</v>
      </c>
      <c r="ET71" t="e">
        <f>AND(Birds!BJ45,"AAAAAH2395U=")</f>
        <v>#VALUE!</v>
      </c>
      <c r="EU71" t="e">
        <f>AND(Birds!BK45,"AAAAAH2395Y=")</f>
        <v>#VALUE!</v>
      </c>
      <c r="EV71" t="e">
        <f>AND(Birds!BL45,"AAAAAH2395c=")</f>
        <v>#VALUE!</v>
      </c>
      <c r="EW71" t="e">
        <f>AND(Birds!BM45,"AAAAAH2395g=")</f>
        <v>#VALUE!</v>
      </c>
      <c r="EX71" t="e">
        <f>AND(Birds!BN45,"AAAAAH2395k=")</f>
        <v>#VALUE!</v>
      </c>
      <c r="EY71" t="e">
        <f>AND(Birds!BO45,"AAAAAH2395o=")</f>
        <v>#VALUE!</v>
      </c>
      <c r="EZ71" t="e">
        <f>AND(Birds!BP45,"AAAAAH2395s=")</f>
        <v>#VALUE!</v>
      </c>
      <c r="FA71" t="e">
        <f>AND(Birds!BQ45,"AAAAAH2395w=")</f>
        <v>#VALUE!</v>
      </c>
      <c r="FB71" t="e">
        <f>AND(Birds!BR45,"AAAAAH23950=")</f>
        <v>#VALUE!</v>
      </c>
      <c r="FC71" t="e">
        <f>AND(Birds!BS45,"AAAAAH23954=")</f>
        <v>#VALUE!</v>
      </c>
      <c r="FD71" t="e">
        <f>AND(Birds!BT45,"AAAAAH23958=")</f>
        <v>#VALUE!</v>
      </c>
      <c r="FE71" t="e">
        <f>AND(Birds!BU45,"AAAAAH2396A=")</f>
        <v>#VALUE!</v>
      </c>
      <c r="FF71" t="e">
        <f>AND(Birds!BV45,"AAAAAH2396E=")</f>
        <v>#VALUE!</v>
      </c>
      <c r="FG71" t="e">
        <f>AND(Birds!BW45,"AAAAAH2396I=")</f>
        <v>#VALUE!</v>
      </c>
      <c r="FH71" t="e">
        <f>AND(Birds!BX45,"AAAAAH2396M=")</f>
        <v>#VALUE!</v>
      </c>
      <c r="FI71" t="e">
        <f>AND(Birds!BY45,"AAAAAH2396Q=")</f>
        <v>#VALUE!</v>
      </c>
      <c r="FJ71" t="e">
        <f>AND(Birds!BZ45,"AAAAAH2396U=")</f>
        <v>#VALUE!</v>
      </c>
      <c r="FK71" t="e">
        <f>AND(Birds!CA45,"AAAAAH2396Y=")</f>
        <v>#VALUE!</v>
      </c>
      <c r="FL71" t="e">
        <f>AND(Birds!CB45,"AAAAAH2396c=")</f>
        <v>#VALUE!</v>
      </c>
      <c r="FM71" t="e">
        <f>AND(Birds!CC45,"AAAAAH2396g=")</f>
        <v>#VALUE!</v>
      </c>
      <c r="FN71" t="e">
        <f>AND(Birds!CD45,"AAAAAH2396k=")</f>
        <v>#VALUE!</v>
      </c>
      <c r="FO71" t="e">
        <f>AND(Birds!CE45,"AAAAAH2396o=")</f>
        <v>#VALUE!</v>
      </c>
      <c r="FP71" t="e">
        <f>AND(Birds!CF45,"AAAAAH2396s=")</f>
        <v>#VALUE!</v>
      </c>
      <c r="FQ71" t="e">
        <f>AND(Birds!CG45,"AAAAAH2396w=")</f>
        <v>#VALUE!</v>
      </c>
      <c r="FR71" t="e">
        <f>AND(Birds!CH45,"AAAAAH23960=")</f>
        <v>#VALUE!</v>
      </c>
      <c r="FS71" t="e">
        <f>AND(Birds!CI45,"AAAAAH23964=")</f>
        <v>#VALUE!</v>
      </c>
      <c r="FT71" t="e">
        <f>AND(Birds!CJ45,"AAAAAH23968=")</f>
        <v>#VALUE!</v>
      </c>
      <c r="FU71" t="e">
        <f>AND(Birds!CK45,"AAAAAH2397A=")</f>
        <v>#VALUE!</v>
      </c>
      <c r="FV71" t="e">
        <f>AND(Birds!CL45,"AAAAAH2397E=")</f>
        <v>#VALUE!</v>
      </c>
      <c r="FW71" t="e">
        <f>AND(Birds!CM45,"AAAAAH2397I=")</f>
        <v>#VALUE!</v>
      </c>
      <c r="FX71" t="e">
        <f>AND(Birds!CN45,"AAAAAH2397M=")</f>
        <v>#VALUE!</v>
      </c>
      <c r="FY71" t="e">
        <f>AND(Birds!CO45,"AAAAAH2397Q=")</f>
        <v>#VALUE!</v>
      </c>
      <c r="FZ71" t="e">
        <f>AND(Birds!CP45,"AAAAAH2397U=")</f>
        <v>#VALUE!</v>
      </c>
      <c r="GA71" t="e">
        <f>AND(Birds!CQ45,"AAAAAH2397Y=")</f>
        <v>#VALUE!</v>
      </c>
      <c r="GB71" t="e">
        <f>AND(Birds!CR45,"AAAAAH2397c=")</f>
        <v>#VALUE!</v>
      </c>
      <c r="GC71" t="e">
        <f>AND(Birds!CS45,"AAAAAH2397g=")</f>
        <v>#VALUE!</v>
      </c>
      <c r="GD71" t="e">
        <f>AND(Birds!CT45,"AAAAAH2397k=")</f>
        <v>#VALUE!</v>
      </c>
      <c r="GE71" t="e">
        <f>AND(Birds!CU45,"AAAAAH2397o=")</f>
        <v>#VALUE!</v>
      </c>
      <c r="GF71" t="e">
        <f>AND(Birds!CV45,"AAAAAH2397s=")</f>
        <v>#VALUE!</v>
      </c>
      <c r="GG71" t="e">
        <f>AND(Birds!CW45,"AAAAAH2397w=")</f>
        <v>#VALUE!</v>
      </c>
      <c r="GH71" t="e">
        <f>AND(Birds!CX45,"AAAAAH23970=")</f>
        <v>#VALUE!</v>
      </c>
      <c r="GI71" t="e">
        <f>AND(Birds!CY45,"AAAAAH23974=")</f>
        <v>#VALUE!</v>
      </c>
      <c r="GJ71" t="e">
        <f>AND(Birds!CZ45,"AAAAAH23978=")</f>
        <v>#VALUE!</v>
      </c>
      <c r="GK71" t="e">
        <f>AND(Birds!DA45,"AAAAAH2398A=")</f>
        <v>#VALUE!</v>
      </c>
      <c r="GL71" t="e">
        <f>AND(Birds!DB45,"AAAAAH2398E=")</f>
        <v>#VALUE!</v>
      </c>
      <c r="GM71" t="e">
        <f>AND(Birds!DC45,"AAAAAH2398I=")</f>
        <v>#VALUE!</v>
      </c>
      <c r="GN71" t="e">
        <f>AND(Birds!DD45,"AAAAAH2398M=")</f>
        <v>#VALUE!</v>
      </c>
      <c r="GO71" t="e">
        <f>AND(Birds!DE45,"AAAAAH2398Q=")</f>
        <v>#VALUE!</v>
      </c>
      <c r="GP71" t="e">
        <f>AND(Birds!DF45,"AAAAAH2398U=")</f>
        <v>#VALUE!</v>
      </c>
      <c r="GQ71" t="e">
        <f>AND(Birds!DG45,"AAAAAH2398Y=")</f>
        <v>#VALUE!</v>
      </c>
      <c r="GR71" t="e">
        <f>AND(Birds!DH45,"AAAAAH2398c=")</f>
        <v>#VALUE!</v>
      </c>
      <c r="GS71" t="e">
        <f>AND(Birds!DI45,"AAAAAH2398g=")</f>
        <v>#VALUE!</v>
      </c>
      <c r="GT71" t="e">
        <f>AND(Birds!DJ45,"AAAAAH2398k=")</f>
        <v>#VALUE!</v>
      </c>
      <c r="GU71" t="e">
        <f>AND(Birds!DK45,"AAAAAH2398o=")</f>
        <v>#VALUE!</v>
      </c>
      <c r="GV71" t="e">
        <f>AND(Birds!DL45,"AAAAAH2398s=")</f>
        <v>#VALUE!</v>
      </c>
      <c r="GW71" t="e">
        <f>AND(Birds!DM45,"AAAAAH2398w=")</f>
        <v>#VALUE!</v>
      </c>
      <c r="GX71" t="e">
        <f>AND(Birds!DN45,"AAAAAH23980=")</f>
        <v>#VALUE!</v>
      </c>
      <c r="GY71" t="e">
        <f>AND(Birds!DO45,"AAAAAH23984=")</f>
        <v>#VALUE!</v>
      </c>
      <c r="GZ71" t="e">
        <f>AND(Birds!DP45,"AAAAAH23988=")</f>
        <v>#VALUE!</v>
      </c>
      <c r="HA71" t="e">
        <f>AND(Birds!DQ45,"AAAAAH2399A=")</f>
        <v>#VALUE!</v>
      </c>
      <c r="HB71" t="e">
        <f>AND(Birds!DR45,"AAAAAH2399E=")</f>
        <v>#VALUE!</v>
      </c>
      <c r="HC71" t="e">
        <f>AND(Birds!DS45,"AAAAAH2399I=")</f>
        <v>#VALUE!</v>
      </c>
      <c r="HD71" t="e">
        <f>AND(Birds!DT45,"AAAAAH2399M=")</f>
        <v>#VALUE!</v>
      </c>
      <c r="HE71" t="e">
        <f>AND(Birds!DU45,"AAAAAH2399Q=")</f>
        <v>#VALUE!</v>
      </c>
      <c r="HF71" t="e">
        <f>AND(Birds!DV45,"AAAAAH2399U=")</f>
        <v>#VALUE!</v>
      </c>
      <c r="HG71" t="e">
        <f>AND(Birds!DW45,"AAAAAH2399Y=")</f>
        <v>#VALUE!</v>
      </c>
      <c r="HH71" t="e">
        <f>AND(Birds!DX45,"AAAAAH2399c=")</f>
        <v>#VALUE!</v>
      </c>
      <c r="HI71" t="e">
        <f>AND(Birds!DY45,"AAAAAH2399g=")</f>
        <v>#VALUE!</v>
      </c>
      <c r="HJ71" t="e">
        <f>AND(Birds!DZ45,"AAAAAH2399k=")</f>
        <v>#VALUE!</v>
      </c>
      <c r="HK71" t="e">
        <f>AND(Birds!EA45,"AAAAAH2399o=")</f>
        <v>#VALUE!</v>
      </c>
      <c r="HL71" t="e">
        <f>AND(Birds!EB45,"AAAAAH2399s=")</f>
        <v>#VALUE!</v>
      </c>
      <c r="HM71" t="e">
        <f>AND(Birds!EC45,"AAAAAH2399w=")</f>
        <v>#VALUE!</v>
      </c>
      <c r="HN71" t="e">
        <f>AND(Birds!ED45,"AAAAAH23990=")</f>
        <v>#VALUE!</v>
      </c>
      <c r="HO71" t="e">
        <f>AND(Birds!EE45,"AAAAAH23994=")</f>
        <v>#VALUE!</v>
      </c>
      <c r="HP71" t="e">
        <f>AND(Birds!EF45,"AAAAAH23998=")</f>
        <v>#VALUE!</v>
      </c>
      <c r="HQ71" t="e">
        <f>AND(Birds!EG45,"AAAAAH239+A=")</f>
        <v>#VALUE!</v>
      </c>
      <c r="HR71" t="e">
        <f>AND(Birds!EH45,"AAAAAH239+E=")</f>
        <v>#VALUE!</v>
      </c>
      <c r="HS71" t="e">
        <f>AND(Birds!EI45,"AAAAAH239+I=")</f>
        <v>#VALUE!</v>
      </c>
      <c r="HT71" t="e">
        <f>AND(Birds!EJ45,"AAAAAH239+M=")</f>
        <v>#VALUE!</v>
      </c>
      <c r="HU71" t="e">
        <f>AND(Birds!EK45,"AAAAAH239+Q=")</f>
        <v>#VALUE!</v>
      </c>
      <c r="HV71" t="e">
        <f>AND(Birds!EL45,"AAAAAH239+U=")</f>
        <v>#VALUE!</v>
      </c>
      <c r="HW71" t="e">
        <f>AND(Birds!EM45,"AAAAAH239+Y=")</f>
        <v>#VALUE!</v>
      </c>
      <c r="HX71" t="e">
        <f>AND(Birds!EN45,"AAAAAH239+c=")</f>
        <v>#VALUE!</v>
      </c>
      <c r="HY71" t="e">
        <f>AND(Birds!EO45,"AAAAAH239+g=")</f>
        <v>#VALUE!</v>
      </c>
      <c r="HZ71" t="e">
        <f>AND(Birds!EP45,"AAAAAH239+k=")</f>
        <v>#VALUE!</v>
      </c>
      <c r="IA71" t="e">
        <f>AND(Birds!EQ45,"AAAAAH239+o=")</f>
        <v>#VALUE!</v>
      </c>
      <c r="IB71" t="e">
        <f>AND(Birds!ER45,"AAAAAH239+s=")</f>
        <v>#VALUE!</v>
      </c>
      <c r="IC71" t="e">
        <f>AND(Birds!ES45,"AAAAAH239+w=")</f>
        <v>#VALUE!</v>
      </c>
      <c r="ID71" t="e">
        <f>AND(Birds!ET45,"AAAAAH239+0=")</f>
        <v>#VALUE!</v>
      </c>
      <c r="IE71" t="e">
        <f>AND(Birds!EU45,"AAAAAH239+4=")</f>
        <v>#VALUE!</v>
      </c>
      <c r="IF71" t="e">
        <f>AND(Birds!EV45,"AAAAAH239+8=")</f>
        <v>#VALUE!</v>
      </c>
      <c r="IG71" t="e">
        <f>AND(Birds!EW45,"AAAAAH239/A=")</f>
        <v>#VALUE!</v>
      </c>
      <c r="IH71" t="e">
        <f>AND(Birds!EX45,"AAAAAH239/E=")</f>
        <v>#VALUE!</v>
      </c>
      <c r="II71" t="e">
        <f>AND(Birds!EY45,"AAAAAH239/I=")</f>
        <v>#VALUE!</v>
      </c>
      <c r="IJ71" t="e">
        <f>AND(Birds!EZ45,"AAAAAH239/M=")</f>
        <v>#VALUE!</v>
      </c>
      <c r="IK71" t="e">
        <f>AND(Birds!FA45,"AAAAAH239/Q=")</f>
        <v>#VALUE!</v>
      </c>
      <c r="IL71" t="e">
        <f>AND(Birds!FB45,"AAAAAH239/U=")</f>
        <v>#VALUE!</v>
      </c>
      <c r="IM71" t="e">
        <f>AND(Birds!FC45,"AAAAAH239/Y=")</f>
        <v>#VALUE!</v>
      </c>
      <c r="IN71" t="e">
        <f>AND(Birds!FD45,"AAAAAH239/c=")</f>
        <v>#VALUE!</v>
      </c>
      <c r="IO71" t="e">
        <f>AND(Birds!FE45,"AAAAAH239/g=")</f>
        <v>#VALUE!</v>
      </c>
      <c r="IP71" t="e">
        <f>AND(Birds!FF45,"AAAAAH239/k=")</f>
        <v>#VALUE!</v>
      </c>
      <c r="IQ71" t="e">
        <f>AND(Birds!FG45,"AAAAAH239/o=")</f>
        <v>#VALUE!</v>
      </c>
      <c r="IR71" t="e">
        <f>AND(Birds!FH45,"AAAAAH239/s=")</f>
        <v>#VALUE!</v>
      </c>
      <c r="IS71" t="e">
        <f>AND(Birds!FI45,"AAAAAH239/w=")</f>
        <v>#VALUE!</v>
      </c>
      <c r="IT71" t="e">
        <f>AND(Birds!FJ45,"AAAAAH239/0=")</f>
        <v>#VALUE!</v>
      </c>
      <c r="IU71" t="e">
        <f>AND(Birds!FK45,"AAAAAH239/4=")</f>
        <v>#VALUE!</v>
      </c>
      <c r="IV71" t="e">
        <f>AND(Birds!FL45,"AAAAAH239/8=")</f>
        <v>#VALUE!</v>
      </c>
    </row>
    <row r="72" spans="1:256">
      <c r="A72" t="e">
        <f>AND(Birds!FM45,"AAAAAG57LwA=")</f>
        <v>#VALUE!</v>
      </c>
      <c r="B72" t="e">
        <f>AND(Birds!FN45,"AAAAAG57LwE=")</f>
        <v>#VALUE!</v>
      </c>
      <c r="C72" t="e">
        <f>AND(Birds!FO45,"AAAAAG57LwI=")</f>
        <v>#VALUE!</v>
      </c>
      <c r="D72" t="e">
        <f>AND(Birds!FP45,"AAAAAG57LwM=")</f>
        <v>#VALUE!</v>
      </c>
      <c r="E72" t="e">
        <f>AND(Birds!FQ45,"AAAAAG57LwQ=")</f>
        <v>#VALUE!</v>
      </c>
      <c r="F72" t="e">
        <f>AND(Birds!FR45,"AAAAAG57LwU=")</f>
        <v>#VALUE!</v>
      </c>
      <c r="G72" t="e">
        <f>AND(Birds!FS45,"AAAAAG57LwY=")</f>
        <v>#VALUE!</v>
      </c>
      <c r="H72" t="e">
        <f>AND(Birds!FT45,"AAAAAG57Lwc=")</f>
        <v>#VALUE!</v>
      </c>
      <c r="I72" t="e">
        <f>AND(Birds!FU45,"AAAAAG57Lwg=")</f>
        <v>#VALUE!</v>
      </c>
      <c r="J72" t="e">
        <f>AND(Birds!FV45,"AAAAAG57Lwk=")</f>
        <v>#VALUE!</v>
      </c>
      <c r="K72" t="e">
        <f>AND(Birds!FW45,"AAAAAG57Lwo=")</f>
        <v>#VALUE!</v>
      </c>
      <c r="L72" t="e">
        <f>AND(Birds!FX45,"AAAAAG57Lws=")</f>
        <v>#VALUE!</v>
      </c>
      <c r="M72" t="e">
        <f>AND(Birds!FY45,"AAAAAG57Lww=")</f>
        <v>#VALUE!</v>
      </c>
      <c r="N72" t="e">
        <f>AND(Birds!FZ45,"AAAAAG57Lw0=")</f>
        <v>#VALUE!</v>
      </c>
      <c r="O72" t="e">
        <f>AND(Birds!GA45,"AAAAAG57Lw4=")</f>
        <v>#VALUE!</v>
      </c>
      <c r="P72" t="e">
        <f>AND(Birds!GB45,"AAAAAG57Lw8=")</f>
        <v>#VALUE!</v>
      </c>
      <c r="Q72" t="e">
        <f>AND(Birds!GC45,"AAAAAG57LxA=")</f>
        <v>#VALUE!</v>
      </c>
      <c r="R72" t="e">
        <f>AND(Birds!GD45,"AAAAAG57LxE=")</f>
        <v>#VALUE!</v>
      </c>
      <c r="S72" t="e">
        <f>AND(Birds!GE45,"AAAAAG57LxI=")</f>
        <v>#VALUE!</v>
      </c>
      <c r="T72" t="e">
        <f>AND(Birds!GF45,"AAAAAG57LxM=")</f>
        <v>#VALUE!</v>
      </c>
      <c r="U72" t="e">
        <f>AND(Birds!GG45,"AAAAAG57LxQ=")</f>
        <v>#VALUE!</v>
      </c>
      <c r="V72" t="e">
        <f>AND(Birds!GH45,"AAAAAG57LxU=")</f>
        <v>#VALUE!</v>
      </c>
      <c r="W72" t="e">
        <f>AND(Birds!GI45,"AAAAAG57LxY=")</f>
        <v>#VALUE!</v>
      </c>
      <c r="X72" t="e">
        <f>AND(Birds!GJ45,"AAAAAG57Lxc=")</f>
        <v>#VALUE!</v>
      </c>
      <c r="Y72" t="e">
        <f>AND(Birds!GK45,"AAAAAG57Lxg=")</f>
        <v>#VALUE!</v>
      </c>
      <c r="Z72" t="e">
        <f>AND(Birds!GL45,"AAAAAG57Lxk=")</f>
        <v>#VALUE!</v>
      </c>
      <c r="AA72" t="e">
        <f>AND(Birds!GM45,"AAAAAG57Lxo=")</f>
        <v>#VALUE!</v>
      </c>
      <c r="AB72">
        <f>IF(Birds!46:46,"AAAAAG57Lxs=",0)</f>
        <v>0</v>
      </c>
      <c r="AC72" t="e">
        <f>AND(Birds!A46,"AAAAAG57Lxw=")</f>
        <v>#VALUE!</v>
      </c>
      <c r="AD72" t="e">
        <f>AND(Birds!B46,"AAAAAG57Lx0=")</f>
        <v>#VALUE!</v>
      </c>
      <c r="AE72" t="e">
        <f>AND(Birds!C46,"AAAAAG57Lx4=")</f>
        <v>#VALUE!</v>
      </c>
      <c r="AF72" t="e">
        <f>AND(Birds!D46,"AAAAAG57Lx8=")</f>
        <v>#VALUE!</v>
      </c>
      <c r="AG72" t="e">
        <f>AND(Birds!E46,"AAAAAG57LyA=")</f>
        <v>#VALUE!</v>
      </c>
      <c r="AH72" t="e">
        <f>AND(Birds!F46,"AAAAAG57LyE=")</f>
        <v>#VALUE!</v>
      </c>
      <c r="AI72" t="e">
        <f>AND(Birds!G46,"AAAAAG57LyI=")</f>
        <v>#VALUE!</v>
      </c>
      <c r="AJ72" t="e">
        <f>AND(Birds!H46,"AAAAAG57LyM=")</f>
        <v>#VALUE!</v>
      </c>
      <c r="AK72" t="e">
        <f>AND(Birds!I46,"AAAAAG57LyQ=")</f>
        <v>#VALUE!</v>
      </c>
      <c r="AL72" t="e">
        <f>AND(Birds!J46,"AAAAAG57LyU=")</f>
        <v>#VALUE!</v>
      </c>
      <c r="AM72" t="e">
        <f>AND(Birds!K46,"AAAAAG57LyY=")</f>
        <v>#VALUE!</v>
      </c>
      <c r="AN72" t="e">
        <f>AND(Birds!L46,"AAAAAG57Lyc=")</f>
        <v>#VALUE!</v>
      </c>
      <c r="AO72" t="e">
        <f>AND(Birds!M46,"AAAAAG57Lyg=")</f>
        <v>#VALUE!</v>
      </c>
      <c r="AP72" t="e">
        <f>AND(Birds!N46,"AAAAAG57Lyk=")</f>
        <v>#VALUE!</v>
      </c>
      <c r="AQ72" t="e">
        <f>AND(Birds!O46,"AAAAAG57Lyo=")</f>
        <v>#VALUE!</v>
      </c>
      <c r="AR72">
        <f>IF(Birds!47:47,"AAAAAG57Lys=",0)</f>
        <v>0</v>
      </c>
      <c r="AS72" t="e">
        <f>AND(Birds!A47,"AAAAAG57Lyw=")</f>
        <v>#VALUE!</v>
      </c>
      <c r="AT72" t="e">
        <f>AND(Birds!B47,"AAAAAG57Ly0=")</f>
        <v>#VALUE!</v>
      </c>
      <c r="AU72" t="e">
        <f>AND(Birds!C47,"AAAAAG57Ly4=")</f>
        <v>#VALUE!</v>
      </c>
      <c r="AV72" t="e">
        <f>AND(Birds!D47,"AAAAAG57Ly8=")</f>
        <v>#VALUE!</v>
      </c>
      <c r="AW72" t="e">
        <f>AND(Birds!E47,"AAAAAG57LzA=")</f>
        <v>#VALUE!</v>
      </c>
      <c r="AX72" t="e">
        <f>AND(Birds!F47,"AAAAAG57LzE=")</f>
        <v>#VALUE!</v>
      </c>
      <c r="AY72" t="e">
        <f>AND(Birds!G47,"AAAAAG57LzI=")</f>
        <v>#VALUE!</v>
      </c>
      <c r="AZ72" t="e">
        <f>AND(Birds!H47,"AAAAAG57LzM=")</f>
        <v>#VALUE!</v>
      </c>
      <c r="BA72" t="e">
        <f>AND(Birds!I47,"AAAAAG57LzQ=")</f>
        <v>#VALUE!</v>
      </c>
      <c r="BB72" t="e">
        <f>AND(Birds!J47,"AAAAAG57LzU=")</f>
        <v>#VALUE!</v>
      </c>
      <c r="BC72" t="e">
        <f>AND(Birds!K47,"AAAAAG57LzY=")</f>
        <v>#VALUE!</v>
      </c>
      <c r="BD72" t="e">
        <f>AND(Birds!L47,"AAAAAG57Lzc=")</f>
        <v>#VALUE!</v>
      </c>
      <c r="BE72" t="e">
        <f>AND(Birds!M47,"AAAAAG57Lzg=")</f>
        <v>#VALUE!</v>
      </c>
      <c r="BF72" t="e">
        <f>AND(Birds!N47,"AAAAAG57Lzk=")</f>
        <v>#VALUE!</v>
      </c>
      <c r="BG72" t="e">
        <f>AND(Birds!O47,"AAAAAG57Lzo=")</f>
        <v>#VALUE!</v>
      </c>
      <c r="BH72">
        <f>IF(Birds!48:48,"AAAAAG57Lzs=",0)</f>
        <v>0</v>
      </c>
      <c r="BI72" t="e">
        <f>AND(Birds!A48,"AAAAAG57Lzw=")</f>
        <v>#VALUE!</v>
      </c>
      <c r="BJ72" t="e">
        <f>AND(Birds!B48,"AAAAAG57Lz0=")</f>
        <v>#VALUE!</v>
      </c>
      <c r="BK72" t="e">
        <f>AND(Birds!C48,"AAAAAG57Lz4=")</f>
        <v>#VALUE!</v>
      </c>
      <c r="BL72" t="e">
        <f>AND(Birds!D48,"AAAAAG57Lz8=")</f>
        <v>#VALUE!</v>
      </c>
      <c r="BM72" t="e">
        <f>AND(Birds!E48,"AAAAAG57L0A=")</f>
        <v>#VALUE!</v>
      </c>
      <c r="BN72" t="e">
        <f>AND(Birds!F48,"AAAAAG57L0E=")</f>
        <v>#VALUE!</v>
      </c>
      <c r="BO72" t="e">
        <f>AND(Birds!G48,"AAAAAG57L0I=")</f>
        <v>#VALUE!</v>
      </c>
      <c r="BP72" t="e">
        <f>AND(Birds!H48,"AAAAAG57L0M=")</f>
        <v>#VALUE!</v>
      </c>
      <c r="BQ72" t="e">
        <f>AND(Birds!I48,"AAAAAG57L0Q=")</f>
        <v>#VALUE!</v>
      </c>
      <c r="BR72" t="e">
        <f>AND(Birds!J48,"AAAAAG57L0U=")</f>
        <v>#VALUE!</v>
      </c>
      <c r="BS72" t="e">
        <f>AND(Birds!K48,"AAAAAG57L0Y=")</f>
        <v>#VALUE!</v>
      </c>
      <c r="BT72" t="e">
        <f>AND(Birds!L48,"AAAAAG57L0c=")</f>
        <v>#VALUE!</v>
      </c>
      <c r="BU72" t="e">
        <f>AND(Birds!M48,"AAAAAG57L0g=")</f>
        <v>#VALUE!</v>
      </c>
      <c r="BV72" t="e">
        <f>AND(Birds!N48,"AAAAAG57L0k=")</f>
        <v>#VALUE!</v>
      </c>
      <c r="BW72" t="e">
        <f>AND(Birds!O48,"AAAAAG57L0o=")</f>
        <v>#VALUE!</v>
      </c>
      <c r="BX72">
        <f>IF(Birds!49:49,"AAAAAG57L0s=",0)</f>
        <v>0</v>
      </c>
      <c r="BY72" t="e">
        <f>AND(Birds!A49,"AAAAAG57L0w=")</f>
        <v>#VALUE!</v>
      </c>
      <c r="BZ72" t="e">
        <f>AND(Birds!B49,"AAAAAG57L00=")</f>
        <v>#VALUE!</v>
      </c>
      <c r="CA72" t="e">
        <f>AND(Birds!C49,"AAAAAG57L04=")</f>
        <v>#VALUE!</v>
      </c>
      <c r="CB72" t="e">
        <f>AND(Birds!D49,"AAAAAG57L08=")</f>
        <v>#VALUE!</v>
      </c>
      <c r="CC72" t="e">
        <f>AND(Birds!E49,"AAAAAG57L1A=")</f>
        <v>#VALUE!</v>
      </c>
      <c r="CD72" t="e">
        <f>AND(Birds!F49,"AAAAAG57L1E=")</f>
        <v>#VALUE!</v>
      </c>
      <c r="CE72" t="e">
        <f>AND(Birds!G49,"AAAAAG57L1I=")</f>
        <v>#VALUE!</v>
      </c>
      <c r="CF72" t="e">
        <f>AND(Birds!H49,"AAAAAG57L1M=")</f>
        <v>#VALUE!</v>
      </c>
      <c r="CG72" t="e">
        <f>AND(Birds!I49,"AAAAAG57L1Q=")</f>
        <v>#VALUE!</v>
      </c>
      <c r="CH72" t="e">
        <f>AND(Birds!J49,"AAAAAG57L1U=")</f>
        <v>#VALUE!</v>
      </c>
      <c r="CI72" t="e">
        <f>AND(Birds!K49,"AAAAAG57L1Y=")</f>
        <v>#VALUE!</v>
      </c>
      <c r="CJ72" t="e">
        <f>AND(Birds!L49,"AAAAAG57L1c=")</f>
        <v>#VALUE!</v>
      </c>
      <c r="CK72" t="e">
        <f>AND(Birds!M49,"AAAAAG57L1g=")</f>
        <v>#VALUE!</v>
      </c>
      <c r="CL72" t="e">
        <f>AND(Birds!N49,"AAAAAG57L1k=")</f>
        <v>#VALUE!</v>
      </c>
      <c r="CM72" t="e">
        <f>AND(Birds!O49,"AAAAAG57L1o=")</f>
        <v>#VALUE!</v>
      </c>
      <c r="CN72">
        <f>IF(Birds!50:50,"AAAAAG57L1s=",0)</f>
        <v>0</v>
      </c>
      <c r="CO72" t="e">
        <f>AND(Birds!A50,"AAAAAG57L1w=")</f>
        <v>#VALUE!</v>
      </c>
      <c r="CP72" t="e">
        <f>AND(Birds!B50,"AAAAAG57L10=")</f>
        <v>#VALUE!</v>
      </c>
      <c r="CQ72" t="e">
        <f>AND(Birds!C50,"AAAAAG57L14=")</f>
        <v>#VALUE!</v>
      </c>
      <c r="CR72" t="e">
        <f>AND(Birds!D50,"AAAAAG57L18=")</f>
        <v>#VALUE!</v>
      </c>
      <c r="CS72" t="e">
        <f>AND(Birds!E50,"AAAAAG57L2A=")</f>
        <v>#VALUE!</v>
      </c>
      <c r="CT72" t="e">
        <f>AND(Birds!F50,"AAAAAG57L2E=")</f>
        <v>#VALUE!</v>
      </c>
      <c r="CU72" t="e">
        <f>AND(Birds!G50,"AAAAAG57L2I=")</f>
        <v>#VALUE!</v>
      </c>
      <c r="CV72" t="e">
        <f>AND(Birds!H50,"AAAAAG57L2M=")</f>
        <v>#VALUE!</v>
      </c>
      <c r="CW72" t="e">
        <f>AND(Birds!I50,"AAAAAG57L2Q=")</f>
        <v>#VALUE!</v>
      </c>
      <c r="CX72" t="e">
        <f>AND(Birds!J50,"AAAAAG57L2U=")</f>
        <v>#VALUE!</v>
      </c>
      <c r="CY72" t="e">
        <f>AND(Birds!K50,"AAAAAG57L2Y=")</f>
        <v>#VALUE!</v>
      </c>
      <c r="CZ72" t="e">
        <f>AND(Birds!L50,"AAAAAG57L2c=")</f>
        <v>#VALUE!</v>
      </c>
      <c r="DA72" t="e">
        <f>AND(Birds!M50,"AAAAAG57L2g=")</f>
        <v>#VALUE!</v>
      </c>
      <c r="DB72" t="e">
        <f>AND(Birds!N50,"AAAAAG57L2k=")</f>
        <v>#VALUE!</v>
      </c>
      <c r="DC72" t="e">
        <f>AND(Birds!O50,"AAAAAG57L2o=")</f>
        <v>#VALUE!</v>
      </c>
      <c r="DD72">
        <f>IF(Birds!51:51,"AAAAAG57L2s=",0)</f>
        <v>0</v>
      </c>
      <c r="DE72" t="e">
        <f>AND(Birds!A51,"AAAAAG57L2w=")</f>
        <v>#VALUE!</v>
      </c>
      <c r="DF72" t="e">
        <f>AND(Birds!B51,"AAAAAG57L20=")</f>
        <v>#VALUE!</v>
      </c>
      <c r="DG72" t="e">
        <f>AND(Birds!C51,"AAAAAG57L24=")</f>
        <v>#VALUE!</v>
      </c>
      <c r="DH72" t="e">
        <f>AND(Birds!D51,"AAAAAG57L28=")</f>
        <v>#VALUE!</v>
      </c>
      <c r="DI72" t="e">
        <f>AND(Birds!E51,"AAAAAG57L3A=")</f>
        <v>#VALUE!</v>
      </c>
      <c r="DJ72" t="e">
        <f>AND(Birds!F51,"AAAAAG57L3E=")</f>
        <v>#VALUE!</v>
      </c>
      <c r="DK72" t="e">
        <f>AND(Birds!G51,"AAAAAG57L3I=")</f>
        <v>#VALUE!</v>
      </c>
      <c r="DL72" t="e">
        <f>AND(Birds!H51,"AAAAAG57L3M=")</f>
        <v>#VALUE!</v>
      </c>
      <c r="DM72" t="e">
        <f>AND(Birds!I51,"AAAAAG57L3Q=")</f>
        <v>#VALUE!</v>
      </c>
      <c r="DN72" t="e">
        <f>AND(Birds!J51,"AAAAAG57L3U=")</f>
        <v>#VALUE!</v>
      </c>
      <c r="DO72" t="e">
        <f>AND(Birds!K51,"AAAAAG57L3Y=")</f>
        <v>#VALUE!</v>
      </c>
      <c r="DP72" t="e">
        <f>AND(Birds!L51,"AAAAAG57L3c=")</f>
        <v>#VALUE!</v>
      </c>
      <c r="DQ72" t="e">
        <f>AND(Birds!M51,"AAAAAG57L3g=")</f>
        <v>#VALUE!</v>
      </c>
      <c r="DR72" t="e">
        <f>AND(Birds!N51,"AAAAAG57L3k=")</f>
        <v>#VALUE!</v>
      </c>
      <c r="DS72" t="e">
        <f>AND(Birds!O51,"AAAAAG57L3o=")</f>
        <v>#VALUE!</v>
      </c>
      <c r="DT72">
        <f>IF(Birds!52:52,"AAAAAG57L3s=",0)</f>
        <v>0</v>
      </c>
      <c r="DU72" t="e">
        <f>AND(Birds!A52,"AAAAAG57L3w=")</f>
        <v>#VALUE!</v>
      </c>
      <c r="DV72" t="e">
        <f>AND(Birds!B52,"AAAAAG57L30=")</f>
        <v>#VALUE!</v>
      </c>
      <c r="DW72" t="e">
        <f>AND(Birds!C52,"AAAAAG57L34=")</f>
        <v>#VALUE!</v>
      </c>
      <c r="DX72" t="e">
        <f>AND(Birds!D52,"AAAAAG57L38=")</f>
        <v>#VALUE!</v>
      </c>
      <c r="DY72" t="e">
        <f>AND(Birds!E52,"AAAAAG57L4A=")</f>
        <v>#VALUE!</v>
      </c>
      <c r="DZ72" t="e">
        <f>AND(Birds!F52,"AAAAAG57L4E=")</f>
        <v>#VALUE!</v>
      </c>
      <c r="EA72" t="e">
        <f>AND(Birds!G52,"AAAAAG57L4I=")</f>
        <v>#VALUE!</v>
      </c>
      <c r="EB72" t="e">
        <f>AND(Birds!H52,"AAAAAG57L4M=")</f>
        <v>#VALUE!</v>
      </c>
      <c r="EC72" t="e">
        <f>AND(Birds!I52,"AAAAAG57L4Q=")</f>
        <v>#VALUE!</v>
      </c>
      <c r="ED72" t="e">
        <f>AND(Birds!J52,"AAAAAG57L4U=")</f>
        <v>#VALUE!</v>
      </c>
      <c r="EE72" t="e">
        <f>AND(Birds!K52,"AAAAAG57L4Y=")</f>
        <v>#VALUE!</v>
      </c>
      <c r="EF72" t="e">
        <f>AND(Birds!L52,"AAAAAG57L4c=")</f>
        <v>#VALUE!</v>
      </c>
      <c r="EG72" t="e">
        <f>AND(Birds!M52,"AAAAAG57L4g=")</f>
        <v>#VALUE!</v>
      </c>
      <c r="EH72" t="e">
        <f>AND(Birds!N52,"AAAAAG57L4k=")</f>
        <v>#VALUE!</v>
      </c>
      <c r="EI72" t="e">
        <f>AND(Birds!O52,"AAAAAG57L4o=")</f>
        <v>#VALUE!</v>
      </c>
      <c r="EJ72">
        <f>IF(Birds!53:53,"AAAAAG57L4s=",0)</f>
        <v>0</v>
      </c>
      <c r="EK72" t="e">
        <f>AND(Birds!A53,"AAAAAG57L4w=")</f>
        <v>#VALUE!</v>
      </c>
      <c r="EL72" t="e">
        <f>AND(Birds!B53,"AAAAAG57L40=")</f>
        <v>#VALUE!</v>
      </c>
      <c r="EM72" t="e">
        <f>AND(Birds!C53,"AAAAAG57L44=")</f>
        <v>#VALUE!</v>
      </c>
      <c r="EN72" t="e">
        <f>AND(Birds!D53,"AAAAAG57L48=")</f>
        <v>#VALUE!</v>
      </c>
      <c r="EO72" t="e">
        <f>AND(Birds!E53,"AAAAAG57L5A=")</f>
        <v>#VALUE!</v>
      </c>
      <c r="EP72" t="e">
        <f>AND(Birds!F53,"AAAAAG57L5E=")</f>
        <v>#VALUE!</v>
      </c>
      <c r="EQ72" t="e">
        <f>AND(Birds!G53,"AAAAAG57L5I=")</f>
        <v>#VALUE!</v>
      </c>
      <c r="ER72" t="e">
        <f>AND(Birds!H53,"AAAAAG57L5M=")</f>
        <v>#VALUE!</v>
      </c>
      <c r="ES72" t="e">
        <f>AND(Birds!I53,"AAAAAG57L5Q=")</f>
        <v>#VALUE!</v>
      </c>
      <c r="ET72" t="e">
        <f>AND(Birds!J53,"AAAAAG57L5U=")</f>
        <v>#VALUE!</v>
      </c>
      <c r="EU72" t="e">
        <f>AND(Birds!K53,"AAAAAG57L5Y=")</f>
        <v>#VALUE!</v>
      </c>
      <c r="EV72" t="e">
        <f>AND(Birds!L53,"AAAAAG57L5c=")</f>
        <v>#VALUE!</v>
      </c>
      <c r="EW72" t="e">
        <f>AND(Birds!M53,"AAAAAG57L5g=")</f>
        <v>#VALUE!</v>
      </c>
      <c r="EX72" t="e">
        <f>AND(Birds!N53,"AAAAAG57L5k=")</f>
        <v>#VALUE!</v>
      </c>
      <c r="EY72" t="e">
        <f>AND(Birds!O53,"AAAAAG57L5o=")</f>
        <v>#VALUE!</v>
      </c>
      <c r="EZ72">
        <f>IF(Birds!54:54,"AAAAAG57L5s=",0)</f>
        <v>0</v>
      </c>
      <c r="FA72" t="e">
        <f>AND(Birds!A54,"AAAAAG57L5w=")</f>
        <v>#VALUE!</v>
      </c>
      <c r="FB72" t="e">
        <f>AND(Birds!B54,"AAAAAG57L50=")</f>
        <v>#VALUE!</v>
      </c>
      <c r="FC72" t="e">
        <f>AND(Birds!C54,"AAAAAG57L54=")</f>
        <v>#VALUE!</v>
      </c>
      <c r="FD72" t="e">
        <f>AND(Birds!D54,"AAAAAG57L58=")</f>
        <v>#VALUE!</v>
      </c>
      <c r="FE72" t="e">
        <f>AND(Birds!E54,"AAAAAG57L6A=")</f>
        <v>#VALUE!</v>
      </c>
      <c r="FF72" t="e">
        <f>AND(Birds!F54,"AAAAAG57L6E=")</f>
        <v>#VALUE!</v>
      </c>
      <c r="FG72" t="e">
        <f>AND(Birds!G54,"AAAAAG57L6I=")</f>
        <v>#VALUE!</v>
      </c>
      <c r="FH72" t="e">
        <f>AND(Birds!H54,"AAAAAG57L6M=")</f>
        <v>#VALUE!</v>
      </c>
      <c r="FI72" t="e">
        <f>AND(Birds!I54,"AAAAAG57L6Q=")</f>
        <v>#VALUE!</v>
      </c>
      <c r="FJ72" t="e">
        <f>AND(Birds!J54,"AAAAAG57L6U=")</f>
        <v>#VALUE!</v>
      </c>
      <c r="FK72" t="e">
        <f>AND(Birds!K54,"AAAAAG57L6Y=")</f>
        <v>#VALUE!</v>
      </c>
      <c r="FL72" t="e">
        <f>AND(Birds!L54,"AAAAAG57L6c=")</f>
        <v>#VALUE!</v>
      </c>
      <c r="FM72" t="e">
        <f>AND(Birds!M54,"AAAAAG57L6g=")</f>
        <v>#VALUE!</v>
      </c>
      <c r="FN72" t="e">
        <f>AND(Birds!N54,"AAAAAG57L6k=")</f>
        <v>#VALUE!</v>
      </c>
      <c r="FO72" t="e">
        <f>AND(Birds!O54,"AAAAAG57L6o=")</f>
        <v>#VALUE!</v>
      </c>
      <c r="FP72">
        <f>IF(Birds!55:55,"AAAAAG57L6s=",0)</f>
        <v>0</v>
      </c>
      <c r="FQ72" t="e">
        <f>AND(Birds!A55,"AAAAAG57L6w=")</f>
        <v>#VALUE!</v>
      </c>
      <c r="FR72" t="e">
        <f>AND(Birds!B55,"AAAAAG57L60=")</f>
        <v>#VALUE!</v>
      </c>
      <c r="FS72" t="e">
        <f>AND(Birds!C55,"AAAAAG57L64=")</f>
        <v>#VALUE!</v>
      </c>
      <c r="FT72" t="e">
        <f>AND(Birds!D55,"AAAAAG57L68=")</f>
        <v>#VALUE!</v>
      </c>
      <c r="FU72" t="e">
        <f>AND(Birds!E55,"AAAAAG57L7A=")</f>
        <v>#VALUE!</v>
      </c>
      <c r="FV72" t="e">
        <f>AND(Birds!F55,"AAAAAG57L7E=")</f>
        <v>#VALUE!</v>
      </c>
      <c r="FW72" t="e">
        <f>AND(Birds!G55,"AAAAAG57L7I=")</f>
        <v>#VALUE!</v>
      </c>
      <c r="FX72" t="e">
        <f>AND(Birds!H55,"AAAAAG57L7M=")</f>
        <v>#VALUE!</v>
      </c>
      <c r="FY72" t="e">
        <f>AND(Birds!I55,"AAAAAG57L7Q=")</f>
        <v>#VALUE!</v>
      </c>
      <c r="FZ72" t="e">
        <f>AND(Birds!J55,"AAAAAG57L7U=")</f>
        <v>#VALUE!</v>
      </c>
      <c r="GA72" t="e">
        <f>AND(Birds!K55,"AAAAAG57L7Y=")</f>
        <v>#VALUE!</v>
      </c>
      <c r="GB72" t="e">
        <f>AND(Birds!L55,"AAAAAG57L7c=")</f>
        <v>#VALUE!</v>
      </c>
      <c r="GC72" t="e">
        <f>AND(Birds!M55,"AAAAAG57L7g=")</f>
        <v>#VALUE!</v>
      </c>
      <c r="GD72" t="e">
        <f>AND(Birds!N55,"AAAAAG57L7k=")</f>
        <v>#VALUE!</v>
      </c>
      <c r="GE72" t="e">
        <f>AND(Birds!O55,"AAAAAG57L7o=")</f>
        <v>#VALUE!</v>
      </c>
      <c r="GF72">
        <f>IF(Birds!56:56,"AAAAAG57L7s=",0)</f>
        <v>0</v>
      </c>
      <c r="GG72" t="e">
        <f>AND(Birds!A56,"AAAAAG57L7w=")</f>
        <v>#VALUE!</v>
      </c>
      <c r="GH72" t="e">
        <f>AND(Birds!B56,"AAAAAG57L70=")</f>
        <v>#VALUE!</v>
      </c>
      <c r="GI72" t="e">
        <f>AND(Birds!C56,"AAAAAG57L74=")</f>
        <v>#VALUE!</v>
      </c>
      <c r="GJ72" t="e">
        <f>AND(Birds!D56,"AAAAAG57L78=")</f>
        <v>#VALUE!</v>
      </c>
      <c r="GK72" t="e">
        <f>AND(Birds!E56,"AAAAAG57L8A=")</f>
        <v>#VALUE!</v>
      </c>
      <c r="GL72" t="e">
        <f>AND(Birds!F56,"AAAAAG57L8E=")</f>
        <v>#VALUE!</v>
      </c>
      <c r="GM72" t="e">
        <f>AND(Birds!G56,"AAAAAG57L8I=")</f>
        <v>#VALUE!</v>
      </c>
      <c r="GN72" t="e">
        <f>AND(Birds!H56,"AAAAAG57L8M=")</f>
        <v>#VALUE!</v>
      </c>
      <c r="GO72" t="e">
        <f>AND(Birds!I56,"AAAAAG57L8Q=")</f>
        <v>#VALUE!</v>
      </c>
      <c r="GP72" t="e">
        <f>AND(Birds!J56,"AAAAAG57L8U=")</f>
        <v>#VALUE!</v>
      </c>
      <c r="GQ72" t="e">
        <f>AND(Birds!K56,"AAAAAG57L8Y=")</f>
        <v>#VALUE!</v>
      </c>
      <c r="GR72" t="e">
        <f>AND(Birds!L56,"AAAAAG57L8c=")</f>
        <v>#VALUE!</v>
      </c>
      <c r="GS72" t="e">
        <f>AND(Birds!M56,"AAAAAG57L8g=")</f>
        <v>#VALUE!</v>
      </c>
      <c r="GT72" t="e">
        <f>AND(Birds!N56,"AAAAAG57L8k=")</f>
        <v>#VALUE!</v>
      </c>
      <c r="GU72" t="e">
        <f>AND(Birds!O56,"AAAAAG57L8o=")</f>
        <v>#VALUE!</v>
      </c>
      <c r="GV72">
        <f>IF(Birds!57:57,"AAAAAG57L8s=",0)</f>
        <v>0</v>
      </c>
      <c r="GW72" t="e">
        <f>AND(Birds!A57,"AAAAAG57L8w=")</f>
        <v>#VALUE!</v>
      </c>
      <c r="GX72" t="e">
        <f>AND(Birds!B57,"AAAAAG57L80=")</f>
        <v>#VALUE!</v>
      </c>
      <c r="GY72" t="e">
        <f>AND(Birds!C57,"AAAAAG57L84=")</f>
        <v>#VALUE!</v>
      </c>
      <c r="GZ72" t="e">
        <f>AND(Birds!D57,"AAAAAG57L88=")</f>
        <v>#VALUE!</v>
      </c>
      <c r="HA72" t="e">
        <f>AND(Birds!E57,"AAAAAG57L9A=")</f>
        <v>#VALUE!</v>
      </c>
      <c r="HB72" t="e">
        <f>AND(Birds!F57,"AAAAAG57L9E=")</f>
        <v>#VALUE!</v>
      </c>
      <c r="HC72" t="e">
        <f>AND(Birds!G57,"AAAAAG57L9I=")</f>
        <v>#VALUE!</v>
      </c>
      <c r="HD72" t="e">
        <f>AND(Birds!H57,"AAAAAG57L9M=")</f>
        <v>#VALUE!</v>
      </c>
      <c r="HE72" t="e">
        <f>AND(Birds!I57,"AAAAAG57L9Q=")</f>
        <v>#VALUE!</v>
      </c>
      <c r="HF72" t="e">
        <f>AND(Birds!J57,"AAAAAG57L9U=")</f>
        <v>#VALUE!</v>
      </c>
      <c r="HG72" t="e">
        <f>AND(Birds!K57,"AAAAAG57L9Y=")</f>
        <v>#VALUE!</v>
      </c>
      <c r="HH72" t="e">
        <f>AND(Birds!L57,"AAAAAG57L9c=")</f>
        <v>#VALUE!</v>
      </c>
      <c r="HI72" t="e">
        <f>AND(Birds!M57,"AAAAAG57L9g=")</f>
        <v>#VALUE!</v>
      </c>
      <c r="HJ72" t="e">
        <f>AND(Birds!N57,"AAAAAG57L9k=")</f>
        <v>#VALUE!</v>
      </c>
      <c r="HK72" t="e">
        <f>AND(Birds!O57,"AAAAAG57L9o=")</f>
        <v>#VALUE!</v>
      </c>
      <c r="HL72">
        <f>IF(Birds!58:58,"AAAAAG57L9s=",0)</f>
        <v>0</v>
      </c>
      <c r="HM72" t="e">
        <f>AND(Birds!A58,"AAAAAG57L9w=")</f>
        <v>#VALUE!</v>
      </c>
      <c r="HN72" t="e">
        <f>AND(Birds!B58,"AAAAAG57L90=")</f>
        <v>#VALUE!</v>
      </c>
      <c r="HO72" t="e">
        <f>AND(Birds!C58,"AAAAAG57L94=")</f>
        <v>#VALUE!</v>
      </c>
      <c r="HP72" t="e">
        <f>AND(Birds!D58,"AAAAAG57L98=")</f>
        <v>#VALUE!</v>
      </c>
      <c r="HQ72" t="e">
        <f>AND(Birds!E58,"AAAAAG57L+A=")</f>
        <v>#VALUE!</v>
      </c>
      <c r="HR72" t="e">
        <f>AND(Birds!F58,"AAAAAG57L+E=")</f>
        <v>#VALUE!</v>
      </c>
      <c r="HS72" t="e">
        <f>AND(Birds!G58,"AAAAAG57L+I=")</f>
        <v>#VALUE!</v>
      </c>
      <c r="HT72" t="e">
        <f>AND(Birds!H58,"AAAAAG57L+M=")</f>
        <v>#VALUE!</v>
      </c>
      <c r="HU72" t="e">
        <f>AND(Birds!I58,"AAAAAG57L+Q=")</f>
        <v>#VALUE!</v>
      </c>
      <c r="HV72" t="e">
        <f>AND(Birds!J58,"AAAAAG57L+U=")</f>
        <v>#VALUE!</v>
      </c>
      <c r="HW72" t="e">
        <f>AND(Birds!K58,"AAAAAG57L+Y=")</f>
        <v>#VALUE!</v>
      </c>
      <c r="HX72" t="e">
        <f>AND(Birds!L58,"AAAAAG57L+c=")</f>
        <v>#VALUE!</v>
      </c>
      <c r="HY72" t="e">
        <f>AND(Birds!M58,"AAAAAG57L+g=")</f>
        <v>#VALUE!</v>
      </c>
      <c r="HZ72" t="e">
        <f>AND(Birds!N58,"AAAAAG57L+k=")</f>
        <v>#VALUE!</v>
      </c>
      <c r="IA72" t="e">
        <f>AND(Birds!O58,"AAAAAG57L+o=")</f>
        <v>#VALUE!</v>
      </c>
      <c r="IB72">
        <f>IF(Birds!59:59,"AAAAAG57L+s=",0)</f>
        <v>0</v>
      </c>
      <c r="IC72" t="e">
        <f>AND(Birds!A59,"AAAAAG57L+w=")</f>
        <v>#VALUE!</v>
      </c>
      <c r="ID72" t="e">
        <f>AND(Birds!B59,"AAAAAG57L+0=")</f>
        <v>#VALUE!</v>
      </c>
      <c r="IE72" t="e">
        <f>AND(Birds!C59,"AAAAAG57L+4=")</f>
        <v>#VALUE!</v>
      </c>
      <c r="IF72" t="e">
        <f>AND(Birds!D59,"AAAAAG57L+8=")</f>
        <v>#VALUE!</v>
      </c>
      <c r="IG72" t="e">
        <f>AND(Birds!E59,"AAAAAG57L/A=")</f>
        <v>#VALUE!</v>
      </c>
      <c r="IH72" t="e">
        <f>AND(Birds!F59,"AAAAAG57L/E=")</f>
        <v>#VALUE!</v>
      </c>
      <c r="II72" t="e">
        <f>AND(Birds!G59,"AAAAAG57L/I=")</f>
        <v>#VALUE!</v>
      </c>
      <c r="IJ72" t="e">
        <f>AND(Birds!H59,"AAAAAG57L/M=")</f>
        <v>#VALUE!</v>
      </c>
      <c r="IK72" t="e">
        <f>AND(Birds!I59,"AAAAAG57L/Q=")</f>
        <v>#VALUE!</v>
      </c>
      <c r="IL72" t="e">
        <f>AND(Birds!J59,"AAAAAG57L/U=")</f>
        <v>#VALUE!</v>
      </c>
      <c r="IM72" t="e">
        <f>AND(Birds!K59,"AAAAAG57L/Y=")</f>
        <v>#VALUE!</v>
      </c>
      <c r="IN72" t="e">
        <f>AND(Birds!L59,"AAAAAG57L/c=")</f>
        <v>#VALUE!</v>
      </c>
      <c r="IO72" t="e">
        <f>AND(Birds!M59,"AAAAAG57L/g=")</f>
        <v>#VALUE!</v>
      </c>
      <c r="IP72" t="e">
        <f>AND(Birds!N59,"AAAAAG57L/k=")</f>
        <v>#VALUE!</v>
      </c>
      <c r="IQ72" t="e">
        <f>AND(Birds!O59,"AAAAAG57L/o=")</f>
        <v>#VALUE!</v>
      </c>
      <c r="IR72">
        <f>IF(Birds!60:60,"AAAAAG57L/s=",0)</f>
        <v>0</v>
      </c>
      <c r="IS72" t="e">
        <f>AND(Birds!A60,"AAAAAG57L/w=")</f>
        <v>#VALUE!</v>
      </c>
      <c r="IT72" t="e">
        <f>AND(Birds!B60,"AAAAAG57L/0=")</f>
        <v>#VALUE!</v>
      </c>
      <c r="IU72" t="e">
        <f>AND(Birds!C60,"AAAAAG57L/4=")</f>
        <v>#VALUE!</v>
      </c>
      <c r="IV72" t="e">
        <f>AND(Birds!D60,"AAAAAG57L/8=")</f>
        <v>#VALUE!</v>
      </c>
    </row>
    <row r="73" spans="1:256">
      <c r="A73" t="e">
        <f>AND(Birds!E60,"AAAAAGxPPwA=")</f>
        <v>#VALUE!</v>
      </c>
      <c r="B73" t="e">
        <f>AND(Birds!F60,"AAAAAGxPPwE=")</f>
        <v>#VALUE!</v>
      </c>
      <c r="C73" t="e">
        <f>AND(Birds!G60,"AAAAAGxPPwI=")</f>
        <v>#VALUE!</v>
      </c>
      <c r="D73" t="e">
        <f>AND(Birds!H60,"AAAAAGxPPwM=")</f>
        <v>#VALUE!</v>
      </c>
      <c r="E73" t="e">
        <f>AND(Birds!I60,"AAAAAGxPPwQ=")</f>
        <v>#VALUE!</v>
      </c>
      <c r="F73" t="e">
        <f>AND(Birds!J60,"AAAAAGxPPwU=")</f>
        <v>#VALUE!</v>
      </c>
      <c r="G73" t="e">
        <f>AND(Birds!K60,"AAAAAGxPPwY=")</f>
        <v>#VALUE!</v>
      </c>
      <c r="H73" t="e">
        <f>AND(Birds!L60,"AAAAAGxPPwc=")</f>
        <v>#VALUE!</v>
      </c>
      <c r="I73" t="e">
        <f>AND(Birds!M60,"AAAAAGxPPwg=")</f>
        <v>#VALUE!</v>
      </c>
      <c r="J73" t="e">
        <f>AND(Birds!N60,"AAAAAGxPPwk=")</f>
        <v>#VALUE!</v>
      </c>
      <c r="K73" t="e">
        <f>AND(Birds!O60,"AAAAAGxPPwo=")</f>
        <v>#VALUE!</v>
      </c>
      <c r="L73" t="e">
        <f>IF(Birds!61:61,"AAAAAGxPPws=",0)</f>
        <v>#VALUE!</v>
      </c>
      <c r="M73" t="e">
        <f>AND(Birds!A61,"AAAAAGxPPww=")</f>
        <v>#VALUE!</v>
      </c>
      <c r="N73" t="e">
        <f>AND(Birds!B61,"AAAAAGxPPw0=")</f>
        <v>#VALUE!</v>
      </c>
      <c r="O73" t="e">
        <f>AND(Birds!C61,"AAAAAGxPPw4=")</f>
        <v>#VALUE!</v>
      </c>
      <c r="P73" t="e">
        <f>AND(Birds!D61,"AAAAAGxPPw8=")</f>
        <v>#VALUE!</v>
      </c>
      <c r="Q73" t="e">
        <f>AND(Birds!E61,"AAAAAGxPPxA=")</f>
        <v>#VALUE!</v>
      </c>
      <c r="R73" t="e">
        <f>AND(Birds!F61,"AAAAAGxPPxE=")</f>
        <v>#VALUE!</v>
      </c>
      <c r="S73" t="e">
        <f>AND(Birds!G61,"AAAAAGxPPxI=")</f>
        <v>#VALUE!</v>
      </c>
      <c r="T73" t="e">
        <f>AND(Birds!H61,"AAAAAGxPPxM=")</f>
        <v>#VALUE!</v>
      </c>
      <c r="U73" t="e">
        <f>AND(Birds!I61,"AAAAAGxPPxQ=")</f>
        <v>#VALUE!</v>
      </c>
      <c r="V73" t="e">
        <f>AND(Birds!J61,"AAAAAGxPPxU=")</f>
        <v>#VALUE!</v>
      </c>
      <c r="W73" t="e">
        <f>AND(Birds!K61,"AAAAAGxPPxY=")</f>
        <v>#VALUE!</v>
      </c>
      <c r="X73" t="e">
        <f>AND(Birds!L61,"AAAAAGxPPxc=")</f>
        <v>#VALUE!</v>
      </c>
      <c r="Y73" t="e">
        <f>AND(Birds!M61,"AAAAAGxPPxg=")</f>
        <v>#VALUE!</v>
      </c>
      <c r="Z73" t="e">
        <f>AND(Birds!N61,"AAAAAGxPPxk=")</f>
        <v>#VALUE!</v>
      </c>
      <c r="AA73" t="e">
        <f>AND(Birds!O61,"AAAAAGxPPxo=")</f>
        <v>#VALUE!</v>
      </c>
      <c r="AB73">
        <f>IF(Birds!62:62,"AAAAAGxPPxs=",0)</f>
        <v>0</v>
      </c>
      <c r="AC73" t="e">
        <f>AND(Birds!A62,"AAAAAGxPPxw=")</f>
        <v>#VALUE!</v>
      </c>
      <c r="AD73" t="e">
        <f>AND(Birds!B62,"AAAAAGxPPx0=")</f>
        <v>#VALUE!</v>
      </c>
      <c r="AE73" t="e">
        <f>AND(Birds!C62,"AAAAAGxPPx4=")</f>
        <v>#VALUE!</v>
      </c>
      <c r="AF73" t="e">
        <f>AND(Birds!D62,"AAAAAGxPPx8=")</f>
        <v>#VALUE!</v>
      </c>
      <c r="AG73" t="e">
        <f>AND(Birds!E62,"AAAAAGxPPyA=")</f>
        <v>#VALUE!</v>
      </c>
      <c r="AH73" t="e">
        <f>AND(Birds!F62,"AAAAAGxPPyE=")</f>
        <v>#VALUE!</v>
      </c>
      <c r="AI73" t="e">
        <f>AND(Birds!G62,"AAAAAGxPPyI=")</f>
        <v>#VALUE!</v>
      </c>
      <c r="AJ73" t="e">
        <f>AND(Birds!H62,"AAAAAGxPPyM=")</f>
        <v>#VALUE!</v>
      </c>
      <c r="AK73" t="e">
        <f>AND(Birds!I62,"AAAAAGxPPyQ=")</f>
        <v>#VALUE!</v>
      </c>
      <c r="AL73" t="e">
        <f>AND(Birds!J62,"AAAAAGxPPyU=")</f>
        <v>#VALUE!</v>
      </c>
      <c r="AM73" t="e">
        <f>AND(Birds!K62,"AAAAAGxPPyY=")</f>
        <v>#VALUE!</v>
      </c>
      <c r="AN73" t="e">
        <f>AND(Birds!L62,"AAAAAGxPPyc=")</f>
        <v>#VALUE!</v>
      </c>
      <c r="AO73" t="e">
        <f>AND(Birds!M62,"AAAAAGxPPyg=")</f>
        <v>#VALUE!</v>
      </c>
      <c r="AP73" t="e">
        <f>AND(Birds!N62,"AAAAAGxPPyk=")</f>
        <v>#VALUE!</v>
      </c>
      <c r="AQ73" t="e">
        <f>AND(Birds!O62,"AAAAAGxPPyo=")</f>
        <v>#VALUE!</v>
      </c>
      <c r="AR73">
        <f>IF(Birds!63:63,"AAAAAGxPPys=",0)</f>
        <v>0</v>
      </c>
      <c r="AS73" t="e">
        <f>AND(Birds!A63,"AAAAAGxPPyw=")</f>
        <v>#VALUE!</v>
      </c>
      <c r="AT73" t="e">
        <f>AND(Birds!B63,"AAAAAGxPPy0=")</f>
        <v>#VALUE!</v>
      </c>
      <c r="AU73" t="e">
        <f>AND(Birds!C63,"AAAAAGxPPy4=")</f>
        <v>#VALUE!</v>
      </c>
      <c r="AV73" t="e">
        <f>AND(Birds!D63,"AAAAAGxPPy8=")</f>
        <v>#VALUE!</v>
      </c>
      <c r="AW73" t="e">
        <f>AND(Birds!E63,"AAAAAGxPPzA=")</f>
        <v>#VALUE!</v>
      </c>
      <c r="AX73" t="e">
        <f>AND(Birds!F63,"AAAAAGxPPzE=")</f>
        <v>#VALUE!</v>
      </c>
      <c r="AY73" t="e">
        <f>AND(Birds!G63,"AAAAAGxPPzI=")</f>
        <v>#VALUE!</v>
      </c>
      <c r="AZ73" t="e">
        <f>AND(Birds!H63,"AAAAAGxPPzM=")</f>
        <v>#VALUE!</v>
      </c>
      <c r="BA73" t="e">
        <f>AND(Birds!I63,"AAAAAGxPPzQ=")</f>
        <v>#VALUE!</v>
      </c>
      <c r="BB73" t="e">
        <f>AND(Birds!J63,"AAAAAGxPPzU=")</f>
        <v>#VALUE!</v>
      </c>
      <c r="BC73" t="e">
        <f>AND(Birds!K63,"AAAAAGxPPzY=")</f>
        <v>#VALUE!</v>
      </c>
      <c r="BD73" t="e">
        <f>AND(Birds!L63,"AAAAAGxPPzc=")</f>
        <v>#VALUE!</v>
      </c>
      <c r="BE73" t="e">
        <f>AND(Birds!M63,"AAAAAGxPPzg=")</f>
        <v>#VALUE!</v>
      </c>
      <c r="BF73" t="e">
        <f>AND(Birds!N63,"AAAAAGxPPzk=")</f>
        <v>#VALUE!</v>
      </c>
      <c r="BG73" t="e">
        <f>AND(Birds!O63,"AAAAAGxPPzo=")</f>
        <v>#VALUE!</v>
      </c>
      <c r="BH73">
        <f>IF(Birds!64:64,"AAAAAGxPPzs=",0)</f>
        <v>0</v>
      </c>
      <c r="BI73" t="e">
        <f>AND(Birds!A64,"AAAAAGxPPzw=")</f>
        <v>#VALUE!</v>
      </c>
      <c r="BJ73" t="e">
        <f>AND(Birds!B64,"AAAAAGxPPz0=")</f>
        <v>#VALUE!</v>
      </c>
      <c r="BK73" t="e">
        <f>AND(Birds!C64,"AAAAAGxPPz4=")</f>
        <v>#VALUE!</v>
      </c>
      <c r="BL73" t="e">
        <f>AND(Birds!D64,"AAAAAGxPPz8=")</f>
        <v>#VALUE!</v>
      </c>
      <c r="BM73" t="e">
        <f>AND(Birds!E64,"AAAAAGxPP0A=")</f>
        <v>#VALUE!</v>
      </c>
      <c r="BN73" t="e">
        <f>AND(Birds!F64,"AAAAAGxPP0E=")</f>
        <v>#VALUE!</v>
      </c>
      <c r="BO73" t="e">
        <f>AND(Birds!G64,"AAAAAGxPP0I=")</f>
        <v>#VALUE!</v>
      </c>
      <c r="BP73" t="e">
        <f>AND(Birds!H64,"AAAAAGxPP0M=")</f>
        <v>#VALUE!</v>
      </c>
      <c r="BQ73" t="e">
        <f>AND(Birds!I64,"AAAAAGxPP0Q=")</f>
        <v>#VALUE!</v>
      </c>
      <c r="BR73" t="e">
        <f>AND(Birds!J64,"AAAAAGxPP0U=")</f>
        <v>#VALUE!</v>
      </c>
      <c r="BS73" t="e">
        <f>AND(Birds!K64,"AAAAAGxPP0Y=")</f>
        <v>#VALUE!</v>
      </c>
      <c r="BT73" t="e">
        <f>AND(Birds!L64,"AAAAAGxPP0c=")</f>
        <v>#VALUE!</v>
      </c>
      <c r="BU73" t="e">
        <f>AND(Birds!M64,"AAAAAGxPP0g=")</f>
        <v>#VALUE!</v>
      </c>
      <c r="BV73" t="e">
        <f>AND(Birds!N64,"AAAAAGxPP0k=")</f>
        <v>#VALUE!</v>
      </c>
      <c r="BW73" t="e">
        <f>AND(Birds!O64,"AAAAAGxPP0o=")</f>
        <v>#VALUE!</v>
      </c>
      <c r="BX73">
        <f>IF(Birds!65:65,"AAAAAGxPP0s=",0)</f>
        <v>0</v>
      </c>
      <c r="BY73" t="e">
        <f>AND(Birds!A65,"AAAAAGxPP0w=")</f>
        <v>#VALUE!</v>
      </c>
      <c r="BZ73" t="e">
        <f>AND(Birds!B65,"AAAAAGxPP00=")</f>
        <v>#VALUE!</v>
      </c>
      <c r="CA73" t="e">
        <f>AND(Birds!C65,"AAAAAGxPP04=")</f>
        <v>#VALUE!</v>
      </c>
      <c r="CB73" t="e">
        <f>AND(Birds!D65,"AAAAAGxPP08=")</f>
        <v>#VALUE!</v>
      </c>
      <c r="CC73" t="e">
        <f>AND(Birds!E65,"AAAAAGxPP1A=")</f>
        <v>#VALUE!</v>
      </c>
      <c r="CD73" t="e">
        <f>AND(Birds!F65,"AAAAAGxPP1E=")</f>
        <v>#VALUE!</v>
      </c>
      <c r="CE73" t="e">
        <f>AND(Birds!G65,"AAAAAGxPP1I=")</f>
        <v>#VALUE!</v>
      </c>
      <c r="CF73" t="e">
        <f>AND(Birds!H65,"AAAAAGxPP1M=")</f>
        <v>#VALUE!</v>
      </c>
      <c r="CG73" t="e">
        <f>AND(Birds!I65,"AAAAAGxPP1Q=")</f>
        <v>#VALUE!</v>
      </c>
      <c r="CH73" t="e">
        <f>AND(Birds!J65,"AAAAAGxPP1U=")</f>
        <v>#VALUE!</v>
      </c>
      <c r="CI73" t="e">
        <f>AND(Birds!K65,"AAAAAGxPP1Y=")</f>
        <v>#VALUE!</v>
      </c>
      <c r="CJ73" t="e">
        <f>AND(Birds!L65,"AAAAAGxPP1c=")</f>
        <v>#VALUE!</v>
      </c>
      <c r="CK73" t="e">
        <f>AND(Birds!M65,"AAAAAGxPP1g=")</f>
        <v>#VALUE!</v>
      </c>
      <c r="CL73" t="e">
        <f>AND(Birds!N65,"AAAAAGxPP1k=")</f>
        <v>#VALUE!</v>
      </c>
      <c r="CM73" t="e">
        <f>AND(Birds!O65,"AAAAAGxPP1o=")</f>
        <v>#VALUE!</v>
      </c>
      <c r="CN73">
        <f>IF(Birds!A:A,"AAAAAGxPP1s=",0)</f>
        <v>0</v>
      </c>
      <c r="CO73">
        <f>IF(Birds!B:B,"AAAAAGxPP1w=",0)</f>
        <v>0</v>
      </c>
      <c r="CP73">
        <f>IF(Birds!C:C,"AAAAAGxPP10=",0)</f>
        <v>0</v>
      </c>
      <c r="CQ73">
        <f>IF(Birds!D:D,"AAAAAGxPP14=",0)</f>
        <v>0</v>
      </c>
      <c r="CR73">
        <f>IF(Birds!E:E,"AAAAAGxPP18=",0)</f>
        <v>0</v>
      </c>
      <c r="CS73">
        <f>IF(Birds!F:F,"AAAAAGxPP2A=",0)</f>
        <v>0</v>
      </c>
      <c r="CT73">
        <f>IF(Birds!G:G,"AAAAAGxPP2E=",0)</f>
        <v>0</v>
      </c>
      <c r="CU73">
        <f>IF(Birds!H:H,"AAAAAGxPP2I=",0)</f>
        <v>0</v>
      </c>
      <c r="CV73">
        <f>IF(Birds!I:I,"AAAAAGxPP2M=",0)</f>
        <v>0</v>
      </c>
      <c r="CW73">
        <f>IF(Birds!J:J,"AAAAAGxPP2Q=",0)</f>
        <v>0</v>
      </c>
      <c r="CX73">
        <f>IF(Birds!K:K,"AAAAAGxPP2U=",0)</f>
        <v>0</v>
      </c>
      <c r="CY73">
        <f>IF(Birds!L:L,"AAAAAGxPP2Y=",0)</f>
        <v>0</v>
      </c>
      <c r="CZ73">
        <f>IF(Birds!M:M,"AAAAAGxPP2c=",0)</f>
        <v>0</v>
      </c>
      <c r="DA73">
        <f>IF(Birds!N:N,"AAAAAGxPP2g=",0)</f>
        <v>0</v>
      </c>
      <c r="DB73">
        <f>IF(Birds!O:O,"AAAAAGxPP2k=",0)</f>
        <v>0</v>
      </c>
      <c r="DC73">
        <f>IF(Birds!P:P,"AAAAAGxPP2o=",0)</f>
        <v>0</v>
      </c>
      <c r="DD73">
        <f>IF(Birds!Q:Q,"AAAAAGxPP2s=",0)</f>
        <v>0</v>
      </c>
      <c r="DE73">
        <f>IF(Birds!R:R,"AAAAAGxPP2w=",0)</f>
        <v>0</v>
      </c>
      <c r="DF73">
        <f>IF(Birds!S:S,"AAAAAGxPP20=",0)</f>
        <v>0</v>
      </c>
      <c r="DG73">
        <f>IF(Birds!T:T,"AAAAAGxPP24=",0)</f>
        <v>0</v>
      </c>
      <c r="DH73">
        <f>IF(Birds!U:U,"AAAAAGxPP28=",0)</f>
        <v>0</v>
      </c>
      <c r="DI73">
        <f>IF(Birds!V:V,"AAAAAGxPP3A=",0)</f>
        <v>0</v>
      </c>
      <c r="DJ73">
        <f>IF(Birds!W:W,"AAAAAGxPP3E=",0)</f>
        <v>0</v>
      </c>
      <c r="DK73">
        <f>IF(Birds!X:X,"AAAAAGxPP3I=",0)</f>
        <v>0</v>
      </c>
      <c r="DL73">
        <f>IF(Birds!Y:Y,"AAAAAGxPP3M=",0)</f>
        <v>0</v>
      </c>
      <c r="DM73">
        <f>IF(Birds!Z:Z,"AAAAAGxPP3Q=",0)</f>
        <v>0</v>
      </c>
      <c r="DN73">
        <f>IF(Birds!AA:AA,"AAAAAGxPP3U=",0)</f>
        <v>0</v>
      </c>
      <c r="DO73">
        <f>IF(Birds!AB:AB,"AAAAAGxPP3Y=",0)</f>
        <v>0</v>
      </c>
      <c r="DP73">
        <f>IF(Birds!AC:AC,"AAAAAGxPP3c=",0)</f>
        <v>0</v>
      </c>
      <c r="DQ73">
        <f>IF(Birds!AD:AD,"AAAAAGxPP3g=",0)</f>
        <v>0</v>
      </c>
      <c r="DR73">
        <f>IF(Birds!AE:AE,"AAAAAGxPP3k=",0)</f>
        <v>0</v>
      </c>
      <c r="DS73">
        <f>IF(Birds!AF:AF,"AAAAAGxPP3o=",0)</f>
        <v>0</v>
      </c>
      <c r="DT73">
        <f>IF(Birds!AG:AG,"AAAAAGxPP3s=",0)</f>
        <v>0</v>
      </c>
      <c r="DU73">
        <f>IF(Birds!AH:AH,"AAAAAGxPP3w=",0)</f>
        <v>0</v>
      </c>
      <c r="DV73">
        <f>IF(Birds!AI:AI,"AAAAAGxPP30=",0)</f>
        <v>0</v>
      </c>
      <c r="DW73">
        <f>IF(Birds!AJ:AJ,"AAAAAGxPP34=",0)</f>
        <v>0</v>
      </c>
      <c r="DX73">
        <f>IF(Birds!AK:AK,"AAAAAGxPP38=",0)</f>
        <v>0</v>
      </c>
      <c r="DY73">
        <f>IF(Birds!AL:AL,"AAAAAGxPP4A=",0)</f>
        <v>0</v>
      </c>
      <c r="DZ73">
        <f>IF(Birds!AM:AM,"AAAAAGxPP4E=",0)</f>
        <v>0</v>
      </c>
      <c r="EA73">
        <f>IF(Birds!AN:AN,"AAAAAGxPP4I=",0)</f>
        <v>0</v>
      </c>
      <c r="EB73">
        <f>IF(Birds!AO:AO,"AAAAAGxPP4M=",0)</f>
        <v>0</v>
      </c>
      <c r="EC73">
        <f>IF(Birds!AP:AP,"AAAAAGxPP4Q=",0)</f>
        <v>0</v>
      </c>
      <c r="ED73">
        <f>IF(Birds!AQ:AQ,"AAAAAGxPP4U=",0)</f>
        <v>0</v>
      </c>
      <c r="EE73">
        <f>IF(Birds!AR:AR,"AAAAAGxPP4Y=",0)</f>
        <v>0</v>
      </c>
      <c r="EF73">
        <f>IF(Birds!AS:AS,"AAAAAGxPP4c=",0)</f>
        <v>0</v>
      </c>
      <c r="EG73">
        <f>IF(Birds!AT:AT,"AAAAAGxPP4g=",0)</f>
        <v>0</v>
      </c>
      <c r="EH73">
        <f>IF(Birds!AU:AU,"AAAAAGxPP4k=",0)</f>
        <v>0</v>
      </c>
      <c r="EI73">
        <f>IF(Birds!AV:AV,"AAAAAGxPP4o=",0)</f>
        <v>0</v>
      </c>
      <c r="EJ73">
        <f>IF(Birds!AW:AW,"AAAAAGxPP4s=",0)</f>
        <v>0</v>
      </c>
      <c r="EK73">
        <f>IF(Birds!AX:AX,"AAAAAGxPP4w=",0)</f>
        <v>0</v>
      </c>
      <c r="EL73">
        <f>IF(Birds!AY:AY,"AAAAAGxPP40=",0)</f>
        <v>0</v>
      </c>
      <c r="EM73">
        <f>IF(Birds!AZ:AZ,"AAAAAGxPP44=",0)</f>
        <v>0</v>
      </c>
      <c r="EN73">
        <f>IF(Birds!BA:BA,"AAAAAGxPP48=",0)</f>
        <v>0</v>
      </c>
      <c r="EO73">
        <f>IF(Birds!BB:BB,"AAAAAGxPP5A=",0)</f>
        <v>0</v>
      </c>
      <c r="EP73">
        <f>IF(Birds!BC:BC,"AAAAAGxPP5E=",0)</f>
        <v>0</v>
      </c>
      <c r="EQ73">
        <f>IF(Birds!BD:BD,"AAAAAGxPP5I=",0)</f>
        <v>0</v>
      </c>
      <c r="ER73">
        <f>IF(Birds!BE:BE,"AAAAAGxPP5M=",0)</f>
        <v>0</v>
      </c>
      <c r="ES73">
        <f>IF(Birds!BF:BF,"AAAAAGxPP5Q=",0)</f>
        <v>0</v>
      </c>
      <c r="ET73">
        <f>IF(Birds!BG:BG,"AAAAAGxPP5U=",0)</f>
        <v>0</v>
      </c>
      <c r="EU73">
        <f>IF(Birds!BH:BH,"AAAAAGxPP5Y=",0)</f>
        <v>0</v>
      </c>
      <c r="EV73">
        <f>IF(Birds!BI:BI,"AAAAAGxPP5c=",0)</f>
        <v>0</v>
      </c>
      <c r="EW73">
        <f>IF(Birds!BJ:BJ,"AAAAAGxPP5g=",0)</f>
        <v>0</v>
      </c>
      <c r="EX73">
        <f>IF(Birds!BK:BK,"AAAAAGxPP5k=",0)</f>
        <v>0</v>
      </c>
      <c r="EY73">
        <f>IF(Birds!BL:BL,"AAAAAGxPP5o=",0)</f>
        <v>0</v>
      </c>
      <c r="EZ73">
        <f>IF(Birds!BM:BM,"AAAAAGxPP5s=",0)</f>
        <v>0</v>
      </c>
      <c r="FA73">
        <f>IF(Birds!BN:BN,"AAAAAGxPP5w=",0)</f>
        <v>0</v>
      </c>
      <c r="FB73">
        <f>IF(Birds!BO:BO,"AAAAAGxPP50=",0)</f>
        <v>0</v>
      </c>
      <c r="FC73">
        <f>IF(Birds!BP:BP,"AAAAAGxPP54=",0)</f>
        <v>0</v>
      </c>
      <c r="FD73">
        <f>IF(Birds!BQ:BQ,"AAAAAGxPP58=",0)</f>
        <v>0</v>
      </c>
      <c r="FE73">
        <f>IF(Birds!BR:BR,"AAAAAGxPP6A=",0)</f>
        <v>0</v>
      </c>
      <c r="FF73">
        <f>IF(Birds!BS:BS,"AAAAAGxPP6E=",0)</f>
        <v>0</v>
      </c>
      <c r="FG73">
        <f>IF(Birds!BT:BT,"AAAAAGxPP6I=",0)</f>
        <v>0</v>
      </c>
      <c r="FH73">
        <f>IF(Birds!BU:BU,"AAAAAGxPP6M=",0)</f>
        <v>0</v>
      </c>
      <c r="FI73">
        <f>IF(Birds!BV:BV,"AAAAAGxPP6Q=",0)</f>
        <v>0</v>
      </c>
      <c r="FJ73">
        <f>IF(Birds!BW:BW,"AAAAAGxPP6U=",0)</f>
        <v>0</v>
      </c>
      <c r="FK73">
        <f>IF(Birds!BX:BX,"AAAAAGxPP6Y=",0)</f>
        <v>0</v>
      </c>
      <c r="FL73">
        <f>IF(Birds!BY:BY,"AAAAAGxPP6c=",0)</f>
        <v>0</v>
      </c>
      <c r="FM73">
        <f>IF(Birds!BZ:BZ,"AAAAAGxPP6g=",0)</f>
        <v>0</v>
      </c>
      <c r="FN73">
        <f>IF(Birds!CA:CA,"AAAAAGxPP6k=",0)</f>
        <v>0</v>
      </c>
      <c r="FO73">
        <f>IF(Birds!CB:CB,"AAAAAGxPP6o=",0)</f>
        <v>0</v>
      </c>
      <c r="FP73">
        <f>IF(Birds!CC:CC,"AAAAAGxPP6s=",0)</f>
        <v>0</v>
      </c>
      <c r="FQ73">
        <f>IF(Birds!CD:CD,"AAAAAGxPP6w=",0)</f>
        <v>0</v>
      </c>
      <c r="FR73">
        <f>IF(Birds!CE:CE,"AAAAAGxPP60=",0)</f>
        <v>0</v>
      </c>
      <c r="FS73">
        <f>IF(Birds!CF:CF,"AAAAAGxPP64=",0)</f>
        <v>0</v>
      </c>
      <c r="FT73">
        <f>IF(Birds!CG:CG,"AAAAAGxPP68=",0)</f>
        <v>0</v>
      </c>
      <c r="FU73">
        <f>IF(Birds!CH:CH,"AAAAAGxPP7A=",0)</f>
        <v>0</v>
      </c>
      <c r="FV73">
        <f>IF(Birds!CI:CI,"AAAAAGxPP7E=",0)</f>
        <v>0</v>
      </c>
      <c r="FW73">
        <f>IF(Birds!CJ:CJ,"AAAAAGxPP7I=",0)</f>
        <v>0</v>
      </c>
      <c r="FX73">
        <f>IF(Birds!CK:CK,"AAAAAGxPP7M=",0)</f>
        <v>0</v>
      </c>
      <c r="FY73">
        <f>IF(Birds!CL:CL,"AAAAAGxPP7Q=",0)</f>
        <v>0</v>
      </c>
      <c r="FZ73">
        <f>IF(Birds!CM:CM,"AAAAAGxPP7U=",0)</f>
        <v>0</v>
      </c>
      <c r="GA73">
        <f>IF(Birds!CN:CN,"AAAAAGxPP7Y=",0)</f>
        <v>0</v>
      </c>
      <c r="GB73">
        <f>IF(Birds!CO:CO,"AAAAAGxPP7c=",0)</f>
        <v>0</v>
      </c>
      <c r="GC73">
        <f>IF(Birds!CP:CP,"AAAAAGxPP7g=",0)</f>
        <v>0</v>
      </c>
      <c r="GD73">
        <f>IF(Birds!CQ:CQ,"AAAAAGxPP7k=",0)</f>
        <v>0</v>
      </c>
      <c r="GE73">
        <f>IF(Birds!CR:CR,"AAAAAGxPP7o=",0)</f>
        <v>0</v>
      </c>
      <c r="GF73">
        <f>IF(Birds!CS:CS,"AAAAAGxPP7s=",0)</f>
        <v>0</v>
      </c>
      <c r="GG73">
        <f>IF(Birds!CT:CT,"AAAAAGxPP7w=",0)</f>
        <v>0</v>
      </c>
      <c r="GH73">
        <f>IF(Birds!CU:CU,"AAAAAGxPP70=",0)</f>
        <v>0</v>
      </c>
      <c r="GI73">
        <f>IF(Birds!CV:CV,"AAAAAGxPP74=",0)</f>
        <v>0</v>
      </c>
      <c r="GJ73">
        <f>IF(Birds!CW:CW,"AAAAAGxPP78=",0)</f>
        <v>0</v>
      </c>
      <c r="GK73">
        <f>IF(Birds!CX:CX,"AAAAAGxPP8A=",0)</f>
        <v>0</v>
      </c>
      <c r="GL73">
        <f>IF(Birds!CY:CY,"AAAAAGxPP8E=",0)</f>
        <v>0</v>
      </c>
      <c r="GM73">
        <f>IF(Birds!CZ:CZ,"AAAAAGxPP8I=",0)</f>
        <v>0</v>
      </c>
      <c r="GN73">
        <f>IF(Birds!DA:DA,"AAAAAGxPP8M=",0)</f>
        <v>0</v>
      </c>
      <c r="GO73">
        <f>IF(Birds!DB:DB,"AAAAAGxPP8Q=",0)</f>
        <v>0</v>
      </c>
      <c r="GP73">
        <f>IF(Birds!DC:DC,"AAAAAGxPP8U=",0)</f>
        <v>0</v>
      </c>
      <c r="GQ73">
        <f>IF(Birds!DD:DD,"AAAAAGxPP8Y=",0)</f>
        <v>0</v>
      </c>
      <c r="GR73">
        <f>IF(Birds!DE:DE,"AAAAAGxPP8c=",0)</f>
        <v>0</v>
      </c>
      <c r="GS73">
        <f>IF(Birds!DF:DF,"AAAAAGxPP8g=",0)</f>
        <v>0</v>
      </c>
      <c r="GT73">
        <f>IF(Birds!DG:DG,"AAAAAGxPP8k=",0)</f>
        <v>0</v>
      </c>
      <c r="GU73">
        <f>IF(Birds!DH:DH,"AAAAAGxPP8o=",0)</f>
        <v>0</v>
      </c>
      <c r="GV73">
        <f>IF(Birds!DI:DI,"AAAAAGxPP8s=",0)</f>
        <v>0</v>
      </c>
      <c r="GW73">
        <f>IF(Birds!DJ:DJ,"AAAAAGxPP8w=",0)</f>
        <v>0</v>
      </c>
      <c r="GX73">
        <f>IF(Birds!DK:DK,"AAAAAGxPP80=",0)</f>
        <v>0</v>
      </c>
      <c r="GY73">
        <f>IF(Birds!DL:DL,"AAAAAGxPP84=",0)</f>
        <v>0</v>
      </c>
      <c r="GZ73">
        <f>IF(Birds!DM:DM,"AAAAAGxPP88=",0)</f>
        <v>0</v>
      </c>
      <c r="HA73">
        <f>IF(Birds!DN:DN,"AAAAAGxPP9A=",0)</f>
        <v>0</v>
      </c>
      <c r="HB73">
        <f>IF(Birds!DO:DO,"AAAAAGxPP9E=",0)</f>
        <v>0</v>
      </c>
      <c r="HC73">
        <f>IF(Birds!DP:DP,"AAAAAGxPP9I=",0)</f>
        <v>0</v>
      </c>
      <c r="HD73">
        <f>IF(Birds!DQ:DQ,"AAAAAGxPP9M=",0)</f>
        <v>0</v>
      </c>
      <c r="HE73">
        <f>IF(Birds!DR:DR,"AAAAAGxPP9Q=",0)</f>
        <v>0</v>
      </c>
      <c r="HF73">
        <f>IF(Birds!DS:DS,"AAAAAGxPP9U=",0)</f>
        <v>0</v>
      </c>
      <c r="HG73">
        <f>IF(Birds!DT:DT,"AAAAAGxPP9Y=",0)</f>
        <v>0</v>
      </c>
      <c r="HH73">
        <f>IF(Birds!DU:DU,"AAAAAGxPP9c=",0)</f>
        <v>0</v>
      </c>
      <c r="HI73">
        <f>IF(Birds!DV:DV,"AAAAAGxPP9g=",0)</f>
        <v>0</v>
      </c>
      <c r="HJ73">
        <f>IF(Birds!DW:DW,"AAAAAGxPP9k=",0)</f>
        <v>0</v>
      </c>
      <c r="HK73">
        <f>IF(Birds!DX:DX,"AAAAAGxPP9o=",0)</f>
        <v>0</v>
      </c>
      <c r="HL73">
        <f>IF(Birds!DY:DY,"AAAAAGxPP9s=",0)</f>
        <v>0</v>
      </c>
      <c r="HM73">
        <f>IF(Birds!DZ:DZ,"AAAAAGxPP9w=",0)</f>
        <v>0</v>
      </c>
      <c r="HN73">
        <f>IF(Birds!EA:EA,"AAAAAGxPP90=",0)</f>
        <v>0</v>
      </c>
      <c r="HO73">
        <f>IF(Birds!EB:EB,"AAAAAGxPP94=",0)</f>
        <v>0</v>
      </c>
      <c r="HP73">
        <f>IF(Birds!EC:EC,"AAAAAGxPP98=",0)</f>
        <v>0</v>
      </c>
      <c r="HQ73">
        <f>IF(Birds!ED:ED,"AAAAAGxPP+A=",0)</f>
        <v>0</v>
      </c>
      <c r="HR73">
        <f>IF(Birds!EE:EE,"AAAAAGxPP+E=",0)</f>
        <v>0</v>
      </c>
      <c r="HS73">
        <f>IF(Birds!EF:EF,"AAAAAGxPP+I=",0)</f>
        <v>0</v>
      </c>
      <c r="HT73">
        <f>IF(Birds!EG:EG,"AAAAAGxPP+M=",0)</f>
        <v>0</v>
      </c>
      <c r="HU73">
        <f>IF(Birds!EH:EH,"AAAAAGxPP+Q=",0)</f>
        <v>0</v>
      </c>
      <c r="HV73">
        <f>IF(Birds!EI:EI,"AAAAAGxPP+U=",0)</f>
        <v>0</v>
      </c>
      <c r="HW73">
        <f>IF(Birds!EJ:EJ,"AAAAAGxPP+Y=",0)</f>
        <v>0</v>
      </c>
      <c r="HX73">
        <f>IF(Birds!EK:EK,"AAAAAGxPP+c=",0)</f>
        <v>0</v>
      </c>
      <c r="HY73">
        <f>IF(Birds!EL:EL,"AAAAAGxPP+g=",0)</f>
        <v>0</v>
      </c>
      <c r="HZ73">
        <f>IF(Birds!EM:EM,"AAAAAGxPP+k=",0)</f>
        <v>0</v>
      </c>
      <c r="IA73">
        <f>IF(Birds!EN:EN,"AAAAAGxPP+o=",0)</f>
        <v>0</v>
      </c>
      <c r="IB73">
        <f>IF(Birds!EO:EO,"AAAAAGxPP+s=",0)</f>
        <v>0</v>
      </c>
      <c r="IC73">
        <f>IF(Birds!EP:EP,"AAAAAGxPP+w=",0)</f>
        <v>0</v>
      </c>
      <c r="ID73">
        <f>IF(Birds!EQ:EQ,"AAAAAGxPP+0=",0)</f>
        <v>0</v>
      </c>
      <c r="IE73">
        <f>IF(Birds!ER:ER,"AAAAAGxPP+4=",0)</f>
        <v>0</v>
      </c>
      <c r="IF73">
        <f>IF(Birds!ES:ES,"AAAAAGxPP+8=",0)</f>
        <v>0</v>
      </c>
      <c r="IG73">
        <f>IF(Birds!ET:ET,"AAAAAGxPP/A=",0)</f>
        <v>0</v>
      </c>
      <c r="IH73">
        <f>IF(Birds!EU:EU,"AAAAAGxPP/E=",0)</f>
        <v>0</v>
      </c>
      <c r="II73">
        <f>IF(Birds!EV:EV,"AAAAAGxPP/I=",0)</f>
        <v>0</v>
      </c>
      <c r="IJ73">
        <f>IF(Birds!EW:EW,"AAAAAGxPP/M=",0)</f>
        <v>0</v>
      </c>
      <c r="IK73">
        <f>IF(Birds!EX:EX,"AAAAAGxPP/Q=",0)</f>
        <v>0</v>
      </c>
      <c r="IL73">
        <f>IF(Birds!EY:EY,"AAAAAGxPP/U=",0)</f>
        <v>0</v>
      </c>
      <c r="IM73">
        <f>IF(Birds!EZ:EZ,"AAAAAGxPP/Y=",0)</f>
        <v>0</v>
      </c>
      <c r="IN73">
        <f>IF(Birds!FA:FA,"AAAAAGxPP/c=",0)</f>
        <v>0</v>
      </c>
      <c r="IO73">
        <f>IF(Birds!FB:FB,"AAAAAGxPP/g=",0)</f>
        <v>0</v>
      </c>
      <c r="IP73">
        <f>IF(Birds!FC:FC,"AAAAAGxPP/k=",0)</f>
        <v>0</v>
      </c>
      <c r="IQ73">
        <f>IF(Birds!FD:FD,"AAAAAGxPP/o=",0)</f>
        <v>0</v>
      </c>
      <c r="IR73">
        <f>IF(Birds!FE:FE,"AAAAAGxPP/s=",0)</f>
        <v>0</v>
      </c>
      <c r="IS73">
        <f>IF(Birds!FF:FF,"AAAAAGxPP/w=",0)</f>
        <v>0</v>
      </c>
      <c r="IT73">
        <f>IF(Birds!FG:FG,"AAAAAGxPP/0=",0)</f>
        <v>0</v>
      </c>
      <c r="IU73">
        <f>IF(Birds!FH:FH,"AAAAAGxPP/4=",0)</f>
        <v>0</v>
      </c>
      <c r="IV73">
        <f>IF(Birds!FI:FI,"AAAAAGxPP/8=",0)</f>
        <v>0</v>
      </c>
    </row>
    <row r="74" spans="1:256">
      <c r="A74">
        <f>IF(Birds!FJ:FJ,"AAAAAHfm3QA=",0)</f>
        <v>0</v>
      </c>
      <c r="B74">
        <f>IF(Birds!FK:FK,"AAAAAHfm3QE=",0)</f>
        <v>0</v>
      </c>
      <c r="C74">
        <f>IF(Birds!FL:FL,"AAAAAHfm3QI=",0)</f>
        <v>0</v>
      </c>
      <c r="D74">
        <f>IF(Birds!FM:FM,"AAAAAHfm3QM=",0)</f>
        <v>0</v>
      </c>
      <c r="E74">
        <f>IF(Birds!FN:FN,"AAAAAHfm3QQ=",0)</f>
        <v>0</v>
      </c>
      <c r="F74">
        <f>IF(Birds!FO:FO,"AAAAAHfm3QU=",0)</f>
        <v>0</v>
      </c>
      <c r="G74">
        <f>IF(Birds!FP:FP,"AAAAAHfm3QY=",0)</f>
        <v>0</v>
      </c>
      <c r="H74">
        <f>IF(Birds!FQ:FQ,"AAAAAHfm3Qc=",0)</f>
        <v>0</v>
      </c>
      <c r="I74">
        <f>IF(Birds!FR:FR,"AAAAAHfm3Qg=",0)</f>
        <v>0</v>
      </c>
      <c r="J74">
        <f>IF(Birds!FS:FS,"AAAAAHfm3Qk=",0)</f>
        <v>0</v>
      </c>
      <c r="K74">
        <f>IF(Birds!FT:FT,"AAAAAHfm3Qo=",0)</f>
        <v>0</v>
      </c>
      <c r="L74">
        <f>IF(Birds!FU:FU,"AAAAAHfm3Qs=",0)</f>
        <v>0</v>
      </c>
      <c r="M74">
        <f>IF(Birds!FV:FV,"AAAAAHfm3Qw=",0)</f>
        <v>0</v>
      </c>
      <c r="N74">
        <f>IF(Birds!FW:FW,"AAAAAHfm3Q0=",0)</f>
        <v>0</v>
      </c>
      <c r="O74">
        <f>IF(Birds!FX:FX,"AAAAAHfm3Q4=",0)</f>
        <v>0</v>
      </c>
      <c r="P74">
        <f>IF(Birds!FY:FY,"AAAAAHfm3Q8=",0)</f>
        <v>0</v>
      </c>
      <c r="Q74">
        <f>IF(Birds!FZ:FZ,"AAAAAHfm3RA=",0)</f>
        <v>0</v>
      </c>
      <c r="R74">
        <f>IF(Birds!GA:GA,"AAAAAHfm3RE=",0)</f>
        <v>0</v>
      </c>
      <c r="S74">
        <f>IF(Birds!GB:GB,"AAAAAHfm3RI=",0)</f>
        <v>0</v>
      </c>
      <c r="T74">
        <f>IF(Birds!GC:GC,"AAAAAHfm3RM=",0)</f>
        <v>0</v>
      </c>
      <c r="U74">
        <f>IF(Birds!GD:GD,"AAAAAHfm3RQ=",0)</f>
        <v>0</v>
      </c>
      <c r="V74">
        <f>IF(Birds!GE:GE,"AAAAAHfm3RU=",0)</f>
        <v>0</v>
      </c>
      <c r="W74">
        <f>IF(Birds!GF:GF,"AAAAAHfm3RY=",0)</f>
        <v>0</v>
      </c>
      <c r="X74">
        <f>IF(Birds!GG:GG,"AAAAAHfm3Rc=",0)</f>
        <v>0</v>
      </c>
      <c r="Y74">
        <f>IF(Birds!GH:GH,"AAAAAHfm3Rg=",0)</f>
        <v>0</v>
      </c>
      <c r="Z74">
        <f>IF(Birds!GI:GI,"AAAAAHfm3Rk=",0)</f>
        <v>0</v>
      </c>
      <c r="AA74">
        <f>IF(Birds!GJ:GJ,"AAAAAHfm3Ro=",0)</f>
        <v>0</v>
      </c>
      <c r="AB74">
        <f>IF(Birds!GK:GK,"AAAAAHfm3Rs=",0)</f>
        <v>0</v>
      </c>
      <c r="AC74">
        <f>IF(Birds!GL:GL,"AAAAAHfm3Rw=",0)</f>
        <v>0</v>
      </c>
      <c r="AD74">
        <f>IF(Birds!GM:GM,"AAAAAHfm3R0=",0)</f>
        <v>0</v>
      </c>
      <c r="AE74">
        <f>IF(Insects!1:1,"AAAAAHfm3R4=",0)</f>
        <v>0</v>
      </c>
      <c r="AF74" t="e">
        <f>AND(Insects!A1,"AAAAAHfm3R8=")</f>
        <v>#VALUE!</v>
      </c>
      <c r="AG74" t="e">
        <f>AND(Insects!B1,"AAAAAHfm3SA=")</f>
        <v>#VALUE!</v>
      </c>
      <c r="AH74" t="e">
        <f>AND(Insects!C1,"AAAAAHfm3SE=")</f>
        <v>#VALUE!</v>
      </c>
      <c r="AI74" t="e">
        <f>AND(Insects!D1,"AAAAAHfm3SI=")</f>
        <v>#VALUE!</v>
      </c>
      <c r="AJ74" t="e">
        <f>AND(Insects!E1,"AAAAAHfm3SM=")</f>
        <v>#VALUE!</v>
      </c>
      <c r="AK74" t="e">
        <f>AND(Insects!F1,"AAAAAHfm3SQ=")</f>
        <v>#VALUE!</v>
      </c>
      <c r="AL74" t="e">
        <f>AND(Insects!G1,"AAAAAHfm3SU=")</f>
        <v>#VALUE!</v>
      </c>
      <c r="AM74" t="e">
        <f>AND(Insects!H1,"AAAAAHfm3SY=")</f>
        <v>#VALUE!</v>
      </c>
      <c r="AN74" t="e">
        <f>AND(Insects!I1,"AAAAAHfm3Sc=")</f>
        <v>#VALUE!</v>
      </c>
      <c r="AO74" t="e">
        <f>AND(Insects!J1,"AAAAAHfm3Sg=")</f>
        <v>#VALUE!</v>
      </c>
      <c r="AP74" t="e">
        <f>AND(Insects!K1,"AAAAAHfm3Sk=")</f>
        <v>#VALUE!</v>
      </c>
      <c r="AQ74" t="e">
        <f>AND(Insects!L1,"AAAAAHfm3So=")</f>
        <v>#VALUE!</v>
      </c>
      <c r="AR74" t="e">
        <f>AND(Insects!M1,"AAAAAHfm3Ss=")</f>
        <v>#VALUE!</v>
      </c>
      <c r="AS74" t="e">
        <f>AND(Insects!N1,"AAAAAHfm3Sw=")</f>
        <v>#VALUE!</v>
      </c>
      <c r="AT74" t="e">
        <f>AND(Insects!O1,"AAAAAHfm3S0=")</f>
        <v>#VALUE!</v>
      </c>
      <c r="AU74" t="e">
        <f>AND(Insects!P1,"AAAAAHfm3S4=")</f>
        <v>#VALUE!</v>
      </c>
      <c r="AV74">
        <f>IF(Insects!2:2,"AAAAAHfm3S8=",0)</f>
        <v>0</v>
      </c>
      <c r="AW74" t="e">
        <f>AND(Insects!A2,"AAAAAHfm3TA=")</f>
        <v>#VALUE!</v>
      </c>
      <c r="AX74" t="e">
        <f>AND(Insects!B2,"AAAAAHfm3TE=")</f>
        <v>#VALUE!</v>
      </c>
      <c r="AY74" t="e">
        <f>AND(Insects!C2,"AAAAAHfm3TI=")</f>
        <v>#VALUE!</v>
      </c>
      <c r="AZ74" t="e">
        <f>AND(Insects!D2,"AAAAAHfm3TM=")</f>
        <v>#VALUE!</v>
      </c>
      <c r="BA74" t="e">
        <f>AND(Insects!E2,"AAAAAHfm3TQ=")</f>
        <v>#VALUE!</v>
      </c>
      <c r="BB74" t="e">
        <f>AND(Insects!F2,"AAAAAHfm3TU=")</f>
        <v>#VALUE!</v>
      </c>
      <c r="BC74" t="e">
        <f>AND(Insects!G2,"AAAAAHfm3TY=")</f>
        <v>#VALUE!</v>
      </c>
      <c r="BD74" t="e">
        <f>AND(Insects!H2,"AAAAAHfm3Tc=")</f>
        <v>#VALUE!</v>
      </c>
      <c r="BE74" t="e">
        <f>AND(Insects!I2,"AAAAAHfm3Tg=")</f>
        <v>#VALUE!</v>
      </c>
      <c r="BF74" t="e">
        <f>AND(Insects!J2,"AAAAAHfm3Tk=")</f>
        <v>#VALUE!</v>
      </c>
      <c r="BG74" t="e">
        <f>AND(Insects!K2,"AAAAAHfm3To=")</f>
        <v>#VALUE!</v>
      </c>
      <c r="BH74" t="e">
        <f>AND(Insects!L2,"AAAAAHfm3Ts=")</f>
        <v>#VALUE!</v>
      </c>
      <c r="BI74" t="e">
        <f>AND(Insects!M2,"AAAAAHfm3Tw=")</f>
        <v>#VALUE!</v>
      </c>
      <c r="BJ74" t="e">
        <f>AND(Insects!N2,"AAAAAHfm3T0=")</f>
        <v>#VALUE!</v>
      </c>
      <c r="BK74" t="e">
        <f>AND(Insects!O2,"AAAAAHfm3T4=")</f>
        <v>#VALUE!</v>
      </c>
      <c r="BL74" t="e">
        <f>AND(Insects!P2,"AAAAAHfm3T8=")</f>
        <v>#VALUE!</v>
      </c>
      <c r="BM74">
        <f>IF(Insects!3:3,"AAAAAHfm3UA=",0)</f>
        <v>0</v>
      </c>
      <c r="BN74" t="e">
        <f>AND(Insects!A3,"AAAAAHfm3UE=")</f>
        <v>#VALUE!</v>
      </c>
      <c r="BO74" t="e">
        <f>AND(Insects!B3,"AAAAAHfm3UI=")</f>
        <v>#VALUE!</v>
      </c>
      <c r="BP74" t="e">
        <f>AND(Insects!C3,"AAAAAHfm3UM=")</f>
        <v>#VALUE!</v>
      </c>
      <c r="BQ74" t="e">
        <f>AND(Insects!D3,"AAAAAHfm3UQ=")</f>
        <v>#VALUE!</v>
      </c>
      <c r="BR74" t="e">
        <f>AND(Insects!E3,"AAAAAHfm3UU=")</f>
        <v>#VALUE!</v>
      </c>
      <c r="BS74" t="e">
        <f>AND(Insects!F3,"AAAAAHfm3UY=")</f>
        <v>#VALUE!</v>
      </c>
      <c r="BT74" t="e">
        <f>AND(Insects!G3,"AAAAAHfm3Uc=")</f>
        <v>#VALUE!</v>
      </c>
      <c r="BU74" t="e">
        <f>AND(Insects!H3,"AAAAAHfm3Ug=")</f>
        <v>#VALUE!</v>
      </c>
      <c r="BV74" t="e">
        <f>AND(Insects!I3,"AAAAAHfm3Uk=")</f>
        <v>#VALUE!</v>
      </c>
      <c r="BW74" t="e">
        <f>AND(Insects!J3,"AAAAAHfm3Uo=")</f>
        <v>#VALUE!</v>
      </c>
      <c r="BX74" t="e">
        <f>AND(Insects!K3,"AAAAAHfm3Us=")</f>
        <v>#VALUE!</v>
      </c>
      <c r="BY74" t="e">
        <f>AND(Insects!L3,"AAAAAHfm3Uw=")</f>
        <v>#VALUE!</v>
      </c>
      <c r="BZ74" t="e">
        <f>AND(Insects!M3,"AAAAAHfm3U0=")</f>
        <v>#VALUE!</v>
      </c>
      <c r="CA74" t="e">
        <f>AND(Insects!N3,"AAAAAHfm3U4=")</f>
        <v>#VALUE!</v>
      </c>
      <c r="CB74" t="e">
        <f>AND(Insects!O3,"AAAAAHfm3U8=")</f>
        <v>#VALUE!</v>
      </c>
      <c r="CC74" t="e">
        <f>AND(Insects!P3,"AAAAAHfm3VA=")</f>
        <v>#VALUE!</v>
      </c>
      <c r="CD74">
        <f>IF(Insects!4:4,"AAAAAHfm3VE=",0)</f>
        <v>0</v>
      </c>
      <c r="CE74" t="e">
        <f>AND(Insects!A4,"AAAAAHfm3VI=")</f>
        <v>#VALUE!</v>
      </c>
      <c r="CF74" t="e">
        <f>AND(Insects!B4,"AAAAAHfm3VM=")</f>
        <v>#VALUE!</v>
      </c>
      <c r="CG74" t="e">
        <f>AND(Insects!C4,"AAAAAHfm3VQ=")</f>
        <v>#VALUE!</v>
      </c>
      <c r="CH74" t="e">
        <f>AND(Insects!D4,"AAAAAHfm3VU=")</f>
        <v>#VALUE!</v>
      </c>
      <c r="CI74" t="e">
        <f>AND(Insects!E4,"AAAAAHfm3VY=")</f>
        <v>#VALUE!</v>
      </c>
      <c r="CJ74" t="e">
        <f>AND(Insects!F4,"AAAAAHfm3Vc=")</f>
        <v>#VALUE!</v>
      </c>
      <c r="CK74" t="e">
        <f>AND(Insects!G4,"AAAAAHfm3Vg=")</f>
        <v>#VALUE!</v>
      </c>
      <c r="CL74" t="e">
        <f>AND(Insects!H4,"AAAAAHfm3Vk=")</f>
        <v>#VALUE!</v>
      </c>
      <c r="CM74" t="e">
        <f>AND(Insects!I4,"AAAAAHfm3Vo=")</f>
        <v>#VALUE!</v>
      </c>
      <c r="CN74" t="e">
        <f>AND(Insects!J4,"AAAAAHfm3Vs=")</f>
        <v>#VALUE!</v>
      </c>
      <c r="CO74" t="e">
        <f>AND(Insects!K4,"AAAAAHfm3Vw=")</f>
        <v>#VALUE!</v>
      </c>
      <c r="CP74" t="e">
        <f>AND(Insects!L4,"AAAAAHfm3V0=")</f>
        <v>#VALUE!</v>
      </c>
      <c r="CQ74" t="e">
        <f>AND(Insects!M4,"AAAAAHfm3V4=")</f>
        <v>#VALUE!</v>
      </c>
      <c r="CR74" t="e">
        <f>AND(Insects!N4,"AAAAAHfm3V8=")</f>
        <v>#VALUE!</v>
      </c>
      <c r="CS74" t="e">
        <f>AND(Insects!O4,"AAAAAHfm3WA=")</f>
        <v>#VALUE!</v>
      </c>
      <c r="CT74" t="e">
        <f>AND(Insects!P4,"AAAAAHfm3WE=")</f>
        <v>#VALUE!</v>
      </c>
      <c r="CU74">
        <f>IF(Insects!5:5,"AAAAAHfm3WI=",0)</f>
        <v>0</v>
      </c>
      <c r="CV74" t="e">
        <f>AND(Insects!A5,"AAAAAHfm3WM=")</f>
        <v>#VALUE!</v>
      </c>
      <c r="CW74" t="e">
        <f>AND(Insects!B5,"AAAAAHfm3WQ=")</f>
        <v>#VALUE!</v>
      </c>
      <c r="CX74" t="e">
        <f>AND(Insects!C5,"AAAAAHfm3WU=")</f>
        <v>#VALUE!</v>
      </c>
      <c r="CY74" t="e">
        <f>AND(Insects!D5,"AAAAAHfm3WY=")</f>
        <v>#VALUE!</v>
      </c>
      <c r="CZ74" t="e">
        <f>AND(Insects!E5,"AAAAAHfm3Wc=")</f>
        <v>#VALUE!</v>
      </c>
      <c r="DA74" t="e">
        <f>AND(Insects!F5,"AAAAAHfm3Wg=")</f>
        <v>#VALUE!</v>
      </c>
      <c r="DB74" t="e">
        <f>AND(Insects!G5,"AAAAAHfm3Wk=")</f>
        <v>#VALUE!</v>
      </c>
      <c r="DC74" t="e">
        <f>AND(Insects!H5,"AAAAAHfm3Wo=")</f>
        <v>#VALUE!</v>
      </c>
      <c r="DD74" t="e">
        <f>AND(Insects!I5,"AAAAAHfm3Ws=")</f>
        <v>#VALUE!</v>
      </c>
      <c r="DE74" t="e">
        <f>AND(Insects!J5,"AAAAAHfm3Ww=")</f>
        <v>#VALUE!</v>
      </c>
      <c r="DF74" t="e">
        <f>AND(Insects!K5,"AAAAAHfm3W0=")</f>
        <v>#VALUE!</v>
      </c>
      <c r="DG74" t="e">
        <f>AND(Insects!L5,"AAAAAHfm3W4=")</f>
        <v>#VALUE!</v>
      </c>
      <c r="DH74" t="e">
        <f>AND(Insects!M5,"AAAAAHfm3W8=")</f>
        <v>#VALUE!</v>
      </c>
      <c r="DI74" t="e">
        <f>AND(Insects!N5,"AAAAAHfm3XA=")</f>
        <v>#VALUE!</v>
      </c>
      <c r="DJ74" t="e">
        <f>AND(Insects!O5,"AAAAAHfm3XE=")</f>
        <v>#VALUE!</v>
      </c>
      <c r="DK74" t="e">
        <f>AND(Insects!P5,"AAAAAHfm3XI=")</f>
        <v>#VALUE!</v>
      </c>
      <c r="DL74">
        <f>IF(Insects!6:6,"AAAAAHfm3XM=",0)</f>
        <v>0</v>
      </c>
      <c r="DM74" t="e">
        <f>AND(Insects!A6,"AAAAAHfm3XQ=")</f>
        <v>#VALUE!</v>
      </c>
      <c r="DN74" t="e">
        <f>AND(Insects!B6,"AAAAAHfm3XU=")</f>
        <v>#VALUE!</v>
      </c>
      <c r="DO74" t="e">
        <f>AND(Insects!C6,"AAAAAHfm3XY=")</f>
        <v>#VALUE!</v>
      </c>
      <c r="DP74" t="e">
        <f>AND(Insects!D6,"AAAAAHfm3Xc=")</f>
        <v>#VALUE!</v>
      </c>
      <c r="DQ74" t="e">
        <f>AND(Insects!E6,"AAAAAHfm3Xg=")</f>
        <v>#VALUE!</v>
      </c>
      <c r="DR74" t="e">
        <f>AND(Insects!F6,"AAAAAHfm3Xk=")</f>
        <v>#VALUE!</v>
      </c>
      <c r="DS74" t="e">
        <f>AND(Insects!G6,"AAAAAHfm3Xo=")</f>
        <v>#VALUE!</v>
      </c>
      <c r="DT74" t="e">
        <f>AND(Insects!H6,"AAAAAHfm3Xs=")</f>
        <v>#VALUE!</v>
      </c>
      <c r="DU74" t="e">
        <f>AND(Insects!I6,"AAAAAHfm3Xw=")</f>
        <v>#VALUE!</v>
      </c>
      <c r="DV74" t="e">
        <f>AND(Insects!J6,"AAAAAHfm3X0=")</f>
        <v>#VALUE!</v>
      </c>
      <c r="DW74" t="e">
        <f>AND(Insects!K6,"AAAAAHfm3X4=")</f>
        <v>#VALUE!</v>
      </c>
      <c r="DX74" t="e">
        <f>AND(Insects!L6,"AAAAAHfm3X8=")</f>
        <v>#VALUE!</v>
      </c>
      <c r="DY74" t="e">
        <f>AND(Insects!M6,"AAAAAHfm3YA=")</f>
        <v>#VALUE!</v>
      </c>
      <c r="DZ74" t="e">
        <f>AND(Insects!N6,"AAAAAHfm3YE=")</f>
        <v>#VALUE!</v>
      </c>
      <c r="EA74" t="e">
        <f>AND(Insects!O6,"AAAAAHfm3YI=")</f>
        <v>#VALUE!</v>
      </c>
      <c r="EB74" t="e">
        <f>AND(Insects!P6,"AAAAAHfm3YM=")</f>
        <v>#VALUE!</v>
      </c>
      <c r="EC74">
        <f>IF(Insects!7:7,"AAAAAHfm3YQ=",0)</f>
        <v>0</v>
      </c>
      <c r="ED74" t="e">
        <f>AND(Insects!A7,"AAAAAHfm3YU=")</f>
        <v>#VALUE!</v>
      </c>
      <c r="EE74" t="e">
        <f>AND(Insects!B7,"AAAAAHfm3YY=")</f>
        <v>#VALUE!</v>
      </c>
      <c r="EF74" t="e">
        <f>AND(Insects!C7,"AAAAAHfm3Yc=")</f>
        <v>#VALUE!</v>
      </c>
      <c r="EG74" t="e">
        <f>AND(Insects!D7,"AAAAAHfm3Yg=")</f>
        <v>#VALUE!</v>
      </c>
      <c r="EH74" t="e">
        <f>AND(Insects!E7,"AAAAAHfm3Yk=")</f>
        <v>#VALUE!</v>
      </c>
      <c r="EI74" t="e">
        <f>AND(Insects!F7,"AAAAAHfm3Yo=")</f>
        <v>#VALUE!</v>
      </c>
      <c r="EJ74" t="e">
        <f>AND(Insects!G7,"AAAAAHfm3Ys=")</f>
        <v>#VALUE!</v>
      </c>
      <c r="EK74" t="e">
        <f>AND(Insects!H7,"AAAAAHfm3Yw=")</f>
        <v>#VALUE!</v>
      </c>
      <c r="EL74" t="e">
        <f>AND(Insects!I7,"AAAAAHfm3Y0=")</f>
        <v>#VALUE!</v>
      </c>
      <c r="EM74" t="e">
        <f>AND(Insects!J7,"AAAAAHfm3Y4=")</f>
        <v>#VALUE!</v>
      </c>
      <c r="EN74" t="e">
        <f>AND(Insects!K7,"AAAAAHfm3Y8=")</f>
        <v>#VALUE!</v>
      </c>
      <c r="EO74" t="e">
        <f>AND(Insects!L7,"AAAAAHfm3ZA=")</f>
        <v>#VALUE!</v>
      </c>
      <c r="EP74" t="e">
        <f>AND(Insects!M7,"AAAAAHfm3ZE=")</f>
        <v>#VALUE!</v>
      </c>
      <c r="EQ74" t="e">
        <f>AND(Insects!N7,"AAAAAHfm3ZI=")</f>
        <v>#VALUE!</v>
      </c>
      <c r="ER74" t="e">
        <f>AND(Insects!O7,"AAAAAHfm3ZM=")</f>
        <v>#VALUE!</v>
      </c>
      <c r="ES74" t="e">
        <f>AND(Insects!P7,"AAAAAHfm3ZQ=")</f>
        <v>#VALUE!</v>
      </c>
      <c r="ET74">
        <f>IF(Insects!8:8,"AAAAAHfm3ZU=",0)</f>
        <v>0</v>
      </c>
      <c r="EU74" t="e">
        <f>AND(Insects!A8,"AAAAAHfm3ZY=")</f>
        <v>#VALUE!</v>
      </c>
      <c r="EV74" t="e">
        <f>AND(Insects!B8,"AAAAAHfm3Zc=")</f>
        <v>#VALUE!</v>
      </c>
      <c r="EW74" t="e">
        <f>AND(Insects!C8,"AAAAAHfm3Zg=")</f>
        <v>#VALUE!</v>
      </c>
      <c r="EX74" t="e">
        <f>AND(Insects!D8,"AAAAAHfm3Zk=")</f>
        <v>#VALUE!</v>
      </c>
      <c r="EY74" t="e">
        <f>AND(Insects!E8,"AAAAAHfm3Zo=")</f>
        <v>#VALUE!</v>
      </c>
      <c r="EZ74" t="e">
        <f>AND(Insects!F8,"AAAAAHfm3Zs=")</f>
        <v>#VALUE!</v>
      </c>
      <c r="FA74" t="e">
        <f>AND(Insects!G8,"AAAAAHfm3Zw=")</f>
        <v>#VALUE!</v>
      </c>
      <c r="FB74" t="e">
        <f>AND(Insects!H8,"AAAAAHfm3Z0=")</f>
        <v>#VALUE!</v>
      </c>
      <c r="FC74" t="e">
        <f>AND(Insects!I8,"AAAAAHfm3Z4=")</f>
        <v>#VALUE!</v>
      </c>
      <c r="FD74" t="e">
        <f>AND(Insects!J8,"AAAAAHfm3Z8=")</f>
        <v>#VALUE!</v>
      </c>
      <c r="FE74" t="e">
        <f>AND(Insects!K8,"AAAAAHfm3aA=")</f>
        <v>#VALUE!</v>
      </c>
      <c r="FF74" t="e">
        <f>AND(Insects!L8,"AAAAAHfm3aE=")</f>
        <v>#VALUE!</v>
      </c>
      <c r="FG74" t="e">
        <f>AND(Insects!M8,"AAAAAHfm3aI=")</f>
        <v>#VALUE!</v>
      </c>
      <c r="FH74" t="e">
        <f>AND(Insects!N8,"AAAAAHfm3aM=")</f>
        <v>#VALUE!</v>
      </c>
      <c r="FI74" t="e">
        <f>AND(Insects!O8,"AAAAAHfm3aQ=")</f>
        <v>#VALUE!</v>
      </c>
      <c r="FJ74" t="e">
        <f>AND(Insects!P8,"AAAAAHfm3aU=")</f>
        <v>#VALUE!</v>
      </c>
      <c r="FK74">
        <f>IF(Insects!9:9,"AAAAAHfm3aY=",0)</f>
        <v>0</v>
      </c>
      <c r="FL74" t="e">
        <f>AND(Insects!A9,"AAAAAHfm3ac=")</f>
        <v>#VALUE!</v>
      </c>
      <c r="FM74" t="e">
        <f>AND(Insects!B9,"AAAAAHfm3ag=")</f>
        <v>#VALUE!</v>
      </c>
      <c r="FN74" t="e">
        <f>AND(Insects!C9,"AAAAAHfm3ak=")</f>
        <v>#VALUE!</v>
      </c>
      <c r="FO74" t="e">
        <f>AND(Insects!D9,"AAAAAHfm3ao=")</f>
        <v>#VALUE!</v>
      </c>
      <c r="FP74" t="e">
        <f>AND(Insects!E9,"AAAAAHfm3as=")</f>
        <v>#VALUE!</v>
      </c>
      <c r="FQ74" t="e">
        <f>AND(Insects!F9,"AAAAAHfm3aw=")</f>
        <v>#VALUE!</v>
      </c>
      <c r="FR74" t="e">
        <f>AND(Insects!G9,"AAAAAHfm3a0=")</f>
        <v>#VALUE!</v>
      </c>
      <c r="FS74" t="e">
        <f>AND(Insects!H9,"AAAAAHfm3a4=")</f>
        <v>#VALUE!</v>
      </c>
      <c r="FT74" t="e">
        <f>AND(Insects!I9,"AAAAAHfm3a8=")</f>
        <v>#VALUE!</v>
      </c>
      <c r="FU74" t="e">
        <f>AND(Insects!J9,"AAAAAHfm3bA=")</f>
        <v>#VALUE!</v>
      </c>
      <c r="FV74" t="e">
        <f>AND(Insects!K9,"AAAAAHfm3bE=")</f>
        <v>#VALUE!</v>
      </c>
      <c r="FW74" t="e">
        <f>AND(Insects!L9,"AAAAAHfm3bI=")</f>
        <v>#VALUE!</v>
      </c>
      <c r="FX74" t="e">
        <f>AND(Insects!M9,"AAAAAHfm3bM=")</f>
        <v>#VALUE!</v>
      </c>
      <c r="FY74" t="e">
        <f>AND(Insects!N9,"AAAAAHfm3bQ=")</f>
        <v>#VALUE!</v>
      </c>
      <c r="FZ74" t="e">
        <f>AND(Insects!O9,"AAAAAHfm3bU=")</f>
        <v>#VALUE!</v>
      </c>
      <c r="GA74" t="e">
        <f>AND(Insects!P9,"AAAAAHfm3bY=")</f>
        <v>#VALUE!</v>
      </c>
      <c r="GB74">
        <f>IF(Insects!10:10,"AAAAAHfm3bc=",0)</f>
        <v>0</v>
      </c>
      <c r="GC74" t="e">
        <f>AND(Insects!A10,"AAAAAHfm3bg=")</f>
        <v>#VALUE!</v>
      </c>
      <c r="GD74" t="e">
        <f>AND(Insects!B10,"AAAAAHfm3bk=")</f>
        <v>#VALUE!</v>
      </c>
      <c r="GE74" t="e">
        <f>AND(Insects!C10,"AAAAAHfm3bo=")</f>
        <v>#VALUE!</v>
      </c>
      <c r="GF74" t="e">
        <f>AND(Insects!D10,"AAAAAHfm3bs=")</f>
        <v>#VALUE!</v>
      </c>
      <c r="GG74" t="e">
        <f>AND(Insects!E10,"AAAAAHfm3bw=")</f>
        <v>#VALUE!</v>
      </c>
      <c r="GH74" t="e">
        <f>AND(Insects!F10,"AAAAAHfm3b0=")</f>
        <v>#VALUE!</v>
      </c>
      <c r="GI74" t="e">
        <f>AND(Insects!G10,"AAAAAHfm3b4=")</f>
        <v>#VALUE!</v>
      </c>
      <c r="GJ74" t="e">
        <f>AND(Insects!H10,"AAAAAHfm3b8=")</f>
        <v>#VALUE!</v>
      </c>
      <c r="GK74" t="e">
        <f>AND(Insects!I10,"AAAAAHfm3cA=")</f>
        <v>#VALUE!</v>
      </c>
      <c r="GL74" t="e">
        <f>AND(Insects!J10,"AAAAAHfm3cE=")</f>
        <v>#VALUE!</v>
      </c>
      <c r="GM74" t="e">
        <f>AND(Insects!K10,"AAAAAHfm3cI=")</f>
        <v>#VALUE!</v>
      </c>
      <c r="GN74" t="e">
        <f>AND(Insects!L10,"AAAAAHfm3cM=")</f>
        <v>#VALUE!</v>
      </c>
      <c r="GO74" t="e">
        <f>AND(Insects!M10,"AAAAAHfm3cQ=")</f>
        <v>#VALUE!</v>
      </c>
      <c r="GP74" t="e">
        <f>AND(Insects!N10,"AAAAAHfm3cU=")</f>
        <v>#VALUE!</v>
      </c>
      <c r="GQ74" t="e">
        <f>AND(Insects!O10,"AAAAAHfm3cY=")</f>
        <v>#VALUE!</v>
      </c>
      <c r="GR74" t="e">
        <f>AND(Insects!P10,"AAAAAHfm3cc=")</f>
        <v>#VALUE!</v>
      </c>
      <c r="GS74">
        <f>IF(Insects!11:11,"AAAAAHfm3cg=",0)</f>
        <v>0</v>
      </c>
      <c r="GT74" t="e">
        <f>AND(Insects!A11,"AAAAAHfm3ck=")</f>
        <v>#VALUE!</v>
      </c>
      <c r="GU74" t="e">
        <f>AND(Insects!B11,"AAAAAHfm3co=")</f>
        <v>#VALUE!</v>
      </c>
      <c r="GV74" t="e">
        <f>AND(Insects!C11,"AAAAAHfm3cs=")</f>
        <v>#VALUE!</v>
      </c>
      <c r="GW74" t="e">
        <f>AND(Insects!D11,"AAAAAHfm3cw=")</f>
        <v>#VALUE!</v>
      </c>
      <c r="GX74" t="e">
        <f>AND(Insects!E11,"AAAAAHfm3c0=")</f>
        <v>#VALUE!</v>
      </c>
      <c r="GY74" t="e">
        <f>AND(Insects!F11,"AAAAAHfm3c4=")</f>
        <v>#VALUE!</v>
      </c>
      <c r="GZ74" t="e">
        <f>AND(Insects!G11,"AAAAAHfm3c8=")</f>
        <v>#VALUE!</v>
      </c>
      <c r="HA74" t="e">
        <f>AND(Insects!H11,"AAAAAHfm3dA=")</f>
        <v>#VALUE!</v>
      </c>
      <c r="HB74" t="e">
        <f>AND(Insects!I11,"AAAAAHfm3dE=")</f>
        <v>#VALUE!</v>
      </c>
      <c r="HC74" t="e">
        <f>AND(Insects!J11,"AAAAAHfm3dI=")</f>
        <v>#VALUE!</v>
      </c>
      <c r="HD74" t="e">
        <f>AND(Insects!K11,"AAAAAHfm3dM=")</f>
        <v>#VALUE!</v>
      </c>
      <c r="HE74" t="e">
        <f>AND(Insects!L11,"AAAAAHfm3dQ=")</f>
        <v>#VALUE!</v>
      </c>
      <c r="HF74" t="e">
        <f>AND(Insects!M11,"AAAAAHfm3dU=")</f>
        <v>#VALUE!</v>
      </c>
      <c r="HG74" t="e">
        <f>AND(Insects!N11,"AAAAAHfm3dY=")</f>
        <v>#VALUE!</v>
      </c>
      <c r="HH74" t="e">
        <f>AND(Insects!O11,"AAAAAHfm3dc=")</f>
        <v>#VALUE!</v>
      </c>
      <c r="HI74" t="e">
        <f>AND(Insects!P11,"AAAAAHfm3dg=")</f>
        <v>#VALUE!</v>
      </c>
      <c r="HJ74">
        <f>IF(Insects!12:12,"AAAAAHfm3dk=",0)</f>
        <v>0</v>
      </c>
      <c r="HK74" t="e">
        <f>AND(Insects!A12,"AAAAAHfm3do=")</f>
        <v>#VALUE!</v>
      </c>
      <c r="HL74" t="e">
        <f>AND(Insects!B12,"AAAAAHfm3ds=")</f>
        <v>#VALUE!</v>
      </c>
      <c r="HM74" t="e">
        <f>AND(Insects!C12,"AAAAAHfm3dw=")</f>
        <v>#VALUE!</v>
      </c>
      <c r="HN74" t="e">
        <f>AND(Insects!D12,"AAAAAHfm3d0=")</f>
        <v>#VALUE!</v>
      </c>
      <c r="HO74" t="e">
        <f>AND(Insects!E12,"AAAAAHfm3d4=")</f>
        <v>#VALUE!</v>
      </c>
      <c r="HP74" t="e">
        <f>AND(Insects!F12,"AAAAAHfm3d8=")</f>
        <v>#VALUE!</v>
      </c>
      <c r="HQ74" t="e">
        <f>AND(Insects!G12,"AAAAAHfm3eA=")</f>
        <v>#VALUE!</v>
      </c>
      <c r="HR74" t="e">
        <f>AND(Insects!H12,"AAAAAHfm3eE=")</f>
        <v>#VALUE!</v>
      </c>
      <c r="HS74" t="e">
        <f>AND(Insects!I12,"AAAAAHfm3eI=")</f>
        <v>#VALUE!</v>
      </c>
      <c r="HT74" t="e">
        <f>AND(Insects!J12,"AAAAAHfm3eM=")</f>
        <v>#VALUE!</v>
      </c>
      <c r="HU74" t="e">
        <f>AND(Insects!K12,"AAAAAHfm3eQ=")</f>
        <v>#VALUE!</v>
      </c>
      <c r="HV74" t="e">
        <f>AND(Insects!L12,"AAAAAHfm3eU=")</f>
        <v>#VALUE!</v>
      </c>
      <c r="HW74" t="e">
        <f>AND(Insects!M12,"AAAAAHfm3eY=")</f>
        <v>#VALUE!</v>
      </c>
      <c r="HX74" t="e">
        <f>AND(Insects!N12,"AAAAAHfm3ec=")</f>
        <v>#VALUE!</v>
      </c>
      <c r="HY74" t="e">
        <f>AND(Insects!O12,"AAAAAHfm3eg=")</f>
        <v>#VALUE!</v>
      </c>
      <c r="HZ74" t="e">
        <f>AND(Insects!P12,"AAAAAHfm3ek=")</f>
        <v>#VALUE!</v>
      </c>
      <c r="IA74">
        <f>IF(Insects!13:13,"AAAAAHfm3eo=",0)</f>
        <v>0</v>
      </c>
      <c r="IB74" t="e">
        <f>AND(Insects!A13,"AAAAAHfm3es=")</f>
        <v>#VALUE!</v>
      </c>
      <c r="IC74" t="e">
        <f>AND(Insects!B13,"AAAAAHfm3ew=")</f>
        <v>#VALUE!</v>
      </c>
      <c r="ID74" t="e">
        <f>AND(Insects!C13,"AAAAAHfm3e0=")</f>
        <v>#VALUE!</v>
      </c>
      <c r="IE74" t="e">
        <f>AND(Insects!D13,"AAAAAHfm3e4=")</f>
        <v>#VALUE!</v>
      </c>
      <c r="IF74" t="e">
        <f>AND(Insects!E13,"AAAAAHfm3e8=")</f>
        <v>#VALUE!</v>
      </c>
      <c r="IG74" t="e">
        <f>AND(Insects!F13,"AAAAAHfm3fA=")</f>
        <v>#VALUE!</v>
      </c>
      <c r="IH74" t="e">
        <f>AND(Insects!G13,"AAAAAHfm3fE=")</f>
        <v>#VALUE!</v>
      </c>
      <c r="II74" t="e">
        <f>AND(Insects!H13,"AAAAAHfm3fI=")</f>
        <v>#VALUE!</v>
      </c>
      <c r="IJ74" t="e">
        <f>AND(Insects!I13,"AAAAAHfm3fM=")</f>
        <v>#VALUE!</v>
      </c>
      <c r="IK74" t="e">
        <f>AND(Insects!J13,"AAAAAHfm3fQ=")</f>
        <v>#VALUE!</v>
      </c>
      <c r="IL74" t="e">
        <f>AND(Insects!K13,"AAAAAHfm3fU=")</f>
        <v>#VALUE!</v>
      </c>
      <c r="IM74" t="e">
        <f>AND(Insects!L13,"AAAAAHfm3fY=")</f>
        <v>#VALUE!</v>
      </c>
      <c r="IN74" t="e">
        <f>AND(Insects!M13,"AAAAAHfm3fc=")</f>
        <v>#VALUE!</v>
      </c>
      <c r="IO74" t="e">
        <f>AND(Insects!N13,"AAAAAHfm3fg=")</f>
        <v>#VALUE!</v>
      </c>
      <c r="IP74" t="e">
        <f>AND(Insects!O13,"AAAAAHfm3fk=")</f>
        <v>#VALUE!</v>
      </c>
      <c r="IQ74" t="e">
        <f>AND(Insects!P13,"AAAAAHfm3fo=")</f>
        <v>#VALUE!</v>
      </c>
      <c r="IR74">
        <f>IF(Insects!14:14,"AAAAAHfm3fs=",0)</f>
        <v>0</v>
      </c>
      <c r="IS74" t="e">
        <f>AND(Insects!A14,"AAAAAHfm3fw=")</f>
        <v>#VALUE!</v>
      </c>
      <c r="IT74" t="e">
        <f>AND(Insects!B14,"AAAAAHfm3f0=")</f>
        <v>#VALUE!</v>
      </c>
      <c r="IU74" t="e">
        <f>AND(Insects!C14,"AAAAAHfm3f4=")</f>
        <v>#VALUE!</v>
      </c>
      <c r="IV74" t="e">
        <f>AND(Insects!D14,"AAAAAHfm3f8=")</f>
        <v>#VALUE!</v>
      </c>
    </row>
    <row r="75" spans="1:256">
      <c r="A75" t="e">
        <f>AND(Insects!E14,"AAAAADr7twA=")</f>
        <v>#VALUE!</v>
      </c>
      <c r="B75" t="e">
        <f>AND(Insects!F14,"AAAAADr7twE=")</f>
        <v>#VALUE!</v>
      </c>
      <c r="C75" t="e">
        <f>AND(Insects!G14,"AAAAADr7twI=")</f>
        <v>#VALUE!</v>
      </c>
      <c r="D75" t="e">
        <f>AND(Insects!H14,"AAAAADr7twM=")</f>
        <v>#VALUE!</v>
      </c>
      <c r="E75" t="e">
        <f>AND(Insects!I14,"AAAAADr7twQ=")</f>
        <v>#VALUE!</v>
      </c>
      <c r="F75" t="e">
        <f>AND(Insects!J14,"AAAAADr7twU=")</f>
        <v>#VALUE!</v>
      </c>
      <c r="G75" t="e">
        <f>AND(Insects!K14,"AAAAADr7twY=")</f>
        <v>#VALUE!</v>
      </c>
      <c r="H75" t="e">
        <f>AND(Insects!L14,"AAAAADr7twc=")</f>
        <v>#VALUE!</v>
      </c>
      <c r="I75" t="e">
        <f>AND(Insects!M14,"AAAAADr7twg=")</f>
        <v>#VALUE!</v>
      </c>
      <c r="J75" t="e">
        <f>AND(Insects!N14,"AAAAADr7twk=")</f>
        <v>#VALUE!</v>
      </c>
      <c r="K75" t="e">
        <f>AND(Insects!O14,"AAAAADr7two=")</f>
        <v>#VALUE!</v>
      </c>
      <c r="L75" t="e">
        <f>AND(Insects!P14,"AAAAADr7tws=")</f>
        <v>#VALUE!</v>
      </c>
      <c r="M75">
        <f>IF(Insects!15:15,"AAAAADr7tww=",0)</f>
        <v>0</v>
      </c>
      <c r="N75" t="e">
        <f>AND(Insects!A15,"AAAAADr7tw0=")</f>
        <v>#VALUE!</v>
      </c>
      <c r="O75" t="e">
        <f>AND(Insects!B15,"AAAAADr7tw4=")</f>
        <v>#VALUE!</v>
      </c>
      <c r="P75" t="e">
        <f>AND(Insects!C15,"AAAAADr7tw8=")</f>
        <v>#VALUE!</v>
      </c>
      <c r="Q75" t="e">
        <f>AND(Insects!D15,"AAAAADr7txA=")</f>
        <v>#VALUE!</v>
      </c>
      <c r="R75" t="e">
        <f>AND(Insects!E15,"AAAAADr7txE=")</f>
        <v>#VALUE!</v>
      </c>
      <c r="S75" t="e">
        <f>AND(Insects!F15,"AAAAADr7txI=")</f>
        <v>#VALUE!</v>
      </c>
      <c r="T75" t="e">
        <f>AND(Insects!G15,"AAAAADr7txM=")</f>
        <v>#VALUE!</v>
      </c>
      <c r="U75" t="e">
        <f>AND(Insects!H15,"AAAAADr7txQ=")</f>
        <v>#VALUE!</v>
      </c>
      <c r="V75" t="e">
        <f>AND(Insects!I15,"AAAAADr7txU=")</f>
        <v>#VALUE!</v>
      </c>
      <c r="W75" t="e">
        <f>AND(Insects!J15,"AAAAADr7txY=")</f>
        <v>#VALUE!</v>
      </c>
      <c r="X75" t="e">
        <f>AND(Insects!K15,"AAAAADr7txc=")</f>
        <v>#VALUE!</v>
      </c>
      <c r="Y75" t="e">
        <f>AND(Insects!L15,"AAAAADr7txg=")</f>
        <v>#VALUE!</v>
      </c>
      <c r="Z75" t="e">
        <f>AND(Insects!M15,"AAAAADr7txk=")</f>
        <v>#VALUE!</v>
      </c>
      <c r="AA75" t="e">
        <f>AND(Insects!N15,"AAAAADr7txo=")</f>
        <v>#VALUE!</v>
      </c>
      <c r="AB75" t="e">
        <f>AND(Insects!O15,"AAAAADr7txs=")</f>
        <v>#VALUE!</v>
      </c>
      <c r="AC75" t="e">
        <f>AND(Insects!P15,"AAAAADr7txw=")</f>
        <v>#VALUE!</v>
      </c>
      <c r="AD75">
        <f>IF(Insects!16:16,"AAAAADr7tx0=",0)</f>
        <v>0</v>
      </c>
      <c r="AE75" t="e">
        <f>AND(Insects!A16,"AAAAADr7tx4=")</f>
        <v>#VALUE!</v>
      </c>
      <c r="AF75" t="e">
        <f>AND(Insects!B16,"AAAAADr7tx8=")</f>
        <v>#VALUE!</v>
      </c>
      <c r="AG75" t="e">
        <f>AND(Insects!C16,"AAAAADr7tyA=")</f>
        <v>#VALUE!</v>
      </c>
      <c r="AH75" t="e">
        <f>AND(Insects!D16,"AAAAADr7tyE=")</f>
        <v>#VALUE!</v>
      </c>
      <c r="AI75" t="e">
        <f>AND(Insects!E16,"AAAAADr7tyI=")</f>
        <v>#VALUE!</v>
      </c>
      <c r="AJ75" t="e">
        <f>AND(Insects!F16,"AAAAADr7tyM=")</f>
        <v>#VALUE!</v>
      </c>
      <c r="AK75" t="e">
        <f>AND(Insects!G16,"AAAAADr7tyQ=")</f>
        <v>#VALUE!</v>
      </c>
      <c r="AL75" t="e">
        <f>AND(Insects!H16,"AAAAADr7tyU=")</f>
        <v>#VALUE!</v>
      </c>
      <c r="AM75" t="e">
        <f>AND(Insects!I16,"AAAAADr7tyY=")</f>
        <v>#VALUE!</v>
      </c>
      <c r="AN75" t="e">
        <f>AND(Insects!J16,"AAAAADr7tyc=")</f>
        <v>#VALUE!</v>
      </c>
      <c r="AO75" t="e">
        <f>AND(Insects!K16,"AAAAADr7tyg=")</f>
        <v>#VALUE!</v>
      </c>
      <c r="AP75" t="e">
        <f>AND(Insects!L16,"AAAAADr7tyk=")</f>
        <v>#VALUE!</v>
      </c>
      <c r="AQ75" t="e">
        <f>AND(Insects!M16,"AAAAADr7tyo=")</f>
        <v>#VALUE!</v>
      </c>
      <c r="AR75" t="e">
        <f>AND(Insects!N16,"AAAAADr7tys=")</f>
        <v>#VALUE!</v>
      </c>
      <c r="AS75" t="e">
        <f>AND(Insects!O16,"AAAAADr7tyw=")</f>
        <v>#VALUE!</v>
      </c>
      <c r="AT75" t="e">
        <f>AND(Insects!P16,"AAAAADr7ty0=")</f>
        <v>#VALUE!</v>
      </c>
      <c r="AU75">
        <f>IF(Insects!17:17,"AAAAADr7ty4=",0)</f>
        <v>0</v>
      </c>
      <c r="AV75" t="e">
        <f>AND(Insects!A17,"AAAAADr7ty8=")</f>
        <v>#VALUE!</v>
      </c>
      <c r="AW75" t="e">
        <f>AND(Insects!B17,"AAAAADr7tzA=")</f>
        <v>#VALUE!</v>
      </c>
      <c r="AX75" t="e">
        <f>AND(Insects!C17,"AAAAADr7tzE=")</f>
        <v>#VALUE!</v>
      </c>
      <c r="AY75" t="e">
        <f>AND(Insects!D17,"AAAAADr7tzI=")</f>
        <v>#VALUE!</v>
      </c>
      <c r="AZ75" t="e">
        <f>AND(Insects!E17,"AAAAADr7tzM=")</f>
        <v>#VALUE!</v>
      </c>
      <c r="BA75" t="e">
        <f>AND(Insects!F17,"AAAAADr7tzQ=")</f>
        <v>#VALUE!</v>
      </c>
      <c r="BB75" t="e">
        <f>AND(Insects!G17,"AAAAADr7tzU=")</f>
        <v>#VALUE!</v>
      </c>
      <c r="BC75" t="e">
        <f>AND(Insects!H17,"AAAAADr7tzY=")</f>
        <v>#VALUE!</v>
      </c>
      <c r="BD75" t="e">
        <f>AND(Insects!I17,"AAAAADr7tzc=")</f>
        <v>#VALUE!</v>
      </c>
      <c r="BE75" t="e">
        <f>AND(Insects!J17,"AAAAADr7tzg=")</f>
        <v>#VALUE!</v>
      </c>
      <c r="BF75" t="e">
        <f>AND(Insects!K17,"AAAAADr7tzk=")</f>
        <v>#VALUE!</v>
      </c>
      <c r="BG75" t="e">
        <f>AND(Insects!L17,"AAAAADr7tzo=")</f>
        <v>#VALUE!</v>
      </c>
      <c r="BH75" t="e">
        <f>AND(Insects!M17,"AAAAADr7tzs=")</f>
        <v>#VALUE!</v>
      </c>
      <c r="BI75" t="e">
        <f>AND(Insects!N17,"AAAAADr7tzw=")</f>
        <v>#VALUE!</v>
      </c>
      <c r="BJ75" t="e">
        <f>AND(Insects!O17,"AAAAADr7tz0=")</f>
        <v>#VALUE!</v>
      </c>
      <c r="BK75" t="e">
        <f>AND(Insects!P17,"AAAAADr7tz4=")</f>
        <v>#VALUE!</v>
      </c>
      <c r="BL75">
        <f>IF(Insects!18:18,"AAAAADr7tz8=",0)</f>
        <v>0</v>
      </c>
      <c r="BM75" t="e">
        <f>AND(Insects!A18,"AAAAADr7t0A=")</f>
        <v>#VALUE!</v>
      </c>
      <c r="BN75" t="e">
        <f>AND(Insects!B18,"AAAAADr7t0E=")</f>
        <v>#VALUE!</v>
      </c>
      <c r="BO75" t="e">
        <f>AND(Insects!C18,"AAAAADr7t0I=")</f>
        <v>#VALUE!</v>
      </c>
      <c r="BP75" t="e">
        <f>AND(Insects!D18,"AAAAADr7t0M=")</f>
        <v>#VALUE!</v>
      </c>
      <c r="BQ75" t="e">
        <f>AND(Insects!E18,"AAAAADr7t0Q=")</f>
        <v>#VALUE!</v>
      </c>
      <c r="BR75" t="e">
        <f>AND(Insects!F18,"AAAAADr7t0U=")</f>
        <v>#VALUE!</v>
      </c>
      <c r="BS75" t="e">
        <f>AND(Insects!G18,"AAAAADr7t0Y=")</f>
        <v>#VALUE!</v>
      </c>
      <c r="BT75" t="e">
        <f>AND(Insects!H18,"AAAAADr7t0c=")</f>
        <v>#VALUE!</v>
      </c>
      <c r="BU75" t="e">
        <f>AND(Insects!I18,"AAAAADr7t0g=")</f>
        <v>#VALUE!</v>
      </c>
      <c r="BV75" t="e">
        <f>AND(Insects!J18,"AAAAADr7t0k=")</f>
        <v>#VALUE!</v>
      </c>
      <c r="BW75" t="e">
        <f>AND(Insects!K18,"AAAAADr7t0o=")</f>
        <v>#VALUE!</v>
      </c>
      <c r="BX75" t="e">
        <f>AND(Insects!L18,"AAAAADr7t0s=")</f>
        <v>#VALUE!</v>
      </c>
      <c r="BY75" t="e">
        <f>AND(Insects!M18,"AAAAADr7t0w=")</f>
        <v>#VALUE!</v>
      </c>
      <c r="BZ75" t="e">
        <f>AND(Insects!N18,"AAAAADr7t00=")</f>
        <v>#VALUE!</v>
      </c>
      <c r="CA75" t="e">
        <f>AND(Insects!O18,"AAAAADr7t04=")</f>
        <v>#VALUE!</v>
      </c>
      <c r="CB75" t="e">
        <f>AND(Insects!P18,"AAAAADr7t08=")</f>
        <v>#VALUE!</v>
      </c>
      <c r="CC75">
        <f>IF(Insects!19:19,"AAAAADr7t1A=",0)</f>
        <v>0</v>
      </c>
      <c r="CD75" t="e">
        <f>AND(Insects!A19,"AAAAADr7t1E=")</f>
        <v>#VALUE!</v>
      </c>
      <c r="CE75" t="e">
        <f>AND(Insects!B19,"AAAAADr7t1I=")</f>
        <v>#VALUE!</v>
      </c>
      <c r="CF75" t="e">
        <f>AND(Insects!C19,"AAAAADr7t1M=")</f>
        <v>#VALUE!</v>
      </c>
      <c r="CG75" t="e">
        <f>AND(Insects!D19,"AAAAADr7t1Q=")</f>
        <v>#VALUE!</v>
      </c>
      <c r="CH75" t="e">
        <f>AND(Insects!E19,"AAAAADr7t1U=")</f>
        <v>#VALUE!</v>
      </c>
      <c r="CI75" t="e">
        <f>AND(Insects!F19,"AAAAADr7t1Y=")</f>
        <v>#VALUE!</v>
      </c>
      <c r="CJ75" t="e">
        <f>AND(Insects!G19,"AAAAADr7t1c=")</f>
        <v>#VALUE!</v>
      </c>
      <c r="CK75" t="e">
        <f>AND(Insects!H19,"AAAAADr7t1g=")</f>
        <v>#VALUE!</v>
      </c>
      <c r="CL75" t="e">
        <f>AND(Insects!I19,"AAAAADr7t1k=")</f>
        <v>#VALUE!</v>
      </c>
      <c r="CM75" t="e">
        <f>AND(Insects!J19,"AAAAADr7t1o=")</f>
        <v>#VALUE!</v>
      </c>
      <c r="CN75" t="e">
        <f>AND(Insects!K19,"AAAAADr7t1s=")</f>
        <v>#VALUE!</v>
      </c>
      <c r="CO75" t="e">
        <f>AND(Insects!L19,"AAAAADr7t1w=")</f>
        <v>#VALUE!</v>
      </c>
      <c r="CP75" t="e">
        <f>AND(Insects!M19,"AAAAADr7t10=")</f>
        <v>#VALUE!</v>
      </c>
      <c r="CQ75" t="e">
        <f>AND(Insects!N19,"AAAAADr7t14=")</f>
        <v>#VALUE!</v>
      </c>
      <c r="CR75" t="e">
        <f>AND(Insects!O19,"AAAAADr7t18=")</f>
        <v>#VALUE!</v>
      </c>
      <c r="CS75" t="e">
        <f>AND(Insects!P19,"AAAAADr7t2A=")</f>
        <v>#VALUE!</v>
      </c>
      <c r="CT75">
        <f>IF(Insects!20:20,"AAAAADr7t2E=",0)</f>
        <v>0</v>
      </c>
      <c r="CU75" t="e">
        <f>AND(Insects!A20,"AAAAADr7t2I=")</f>
        <v>#VALUE!</v>
      </c>
      <c r="CV75" t="e">
        <f>AND(Insects!B20,"AAAAADr7t2M=")</f>
        <v>#VALUE!</v>
      </c>
      <c r="CW75" t="e">
        <f>AND(Insects!C20,"AAAAADr7t2Q=")</f>
        <v>#VALUE!</v>
      </c>
      <c r="CX75" t="e">
        <f>AND(Insects!D20,"AAAAADr7t2U=")</f>
        <v>#VALUE!</v>
      </c>
      <c r="CY75" t="e">
        <f>AND(Insects!E20,"AAAAADr7t2Y=")</f>
        <v>#VALUE!</v>
      </c>
      <c r="CZ75" t="e">
        <f>AND(Insects!F20,"AAAAADr7t2c=")</f>
        <v>#VALUE!</v>
      </c>
      <c r="DA75" t="e">
        <f>AND(Insects!G20,"AAAAADr7t2g=")</f>
        <v>#VALUE!</v>
      </c>
      <c r="DB75" t="e">
        <f>AND(Insects!H20,"AAAAADr7t2k=")</f>
        <v>#VALUE!</v>
      </c>
      <c r="DC75" t="e">
        <f>AND(Insects!I20,"AAAAADr7t2o=")</f>
        <v>#VALUE!</v>
      </c>
      <c r="DD75" t="e">
        <f>AND(Insects!J20,"AAAAADr7t2s=")</f>
        <v>#VALUE!</v>
      </c>
      <c r="DE75" t="e">
        <f>AND(Insects!K20,"AAAAADr7t2w=")</f>
        <v>#VALUE!</v>
      </c>
      <c r="DF75" t="e">
        <f>AND(Insects!L20,"AAAAADr7t20=")</f>
        <v>#VALUE!</v>
      </c>
      <c r="DG75" t="e">
        <f>AND(Insects!M20,"AAAAADr7t24=")</f>
        <v>#VALUE!</v>
      </c>
      <c r="DH75" t="e">
        <f>AND(Insects!N20,"AAAAADr7t28=")</f>
        <v>#VALUE!</v>
      </c>
      <c r="DI75" t="e">
        <f>AND(Insects!O20,"AAAAADr7t3A=")</f>
        <v>#VALUE!</v>
      </c>
      <c r="DJ75" t="e">
        <f>AND(Insects!P20,"AAAAADr7t3E=")</f>
        <v>#VALUE!</v>
      </c>
      <c r="DK75">
        <f>IF(Insects!21:21,"AAAAADr7t3I=",0)</f>
        <v>0</v>
      </c>
      <c r="DL75" t="e">
        <f>AND(Insects!A21,"AAAAADr7t3M=")</f>
        <v>#VALUE!</v>
      </c>
      <c r="DM75" t="e">
        <f>AND(Insects!B21,"AAAAADr7t3Q=")</f>
        <v>#VALUE!</v>
      </c>
      <c r="DN75" t="e">
        <f>AND(Insects!C21,"AAAAADr7t3U=")</f>
        <v>#VALUE!</v>
      </c>
      <c r="DO75" t="e">
        <f>AND(Insects!D21,"AAAAADr7t3Y=")</f>
        <v>#VALUE!</v>
      </c>
      <c r="DP75" t="e">
        <f>AND(Insects!E21,"AAAAADr7t3c=")</f>
        <v>#VALUE!</v>
      </c>
      <c r="DQ75" t="e">
        <f>AND(Insects!F21,"AAAAADr7t3g=")</f>
        <v>#VALUE!</v>
      </c>
      <c r="DR75" t="e">
        <f>AND(Insects!G21,"AAAAADr7t3k=")</f>
        <v>#VALUE!</v>
      </c>
      <c r="DS75" t="e">
        <f>AND(Insects!H21,"AAAAADr7t3o=")</f>
        <v>#VALUE!</v>
      </c>
      <c r="DT75" t="e">
        <f>AND(Insects!I21,"AAAAADr7t3s=")</f>
        <v>#VALUE!</v>
      </c>
      <c r="DU75" t="e">
        <f>AND(Insects!J21,"AAAAADr7t3w=")</f>
        <v>#VALUE!</v>
      </c>
      <c r="DV75" t="e">
        <f>AND(Insects!K21,"AAAAADr7t30=")</f>
        <v>#VALUE!</v>
      </c>
      <c r="DW75" t="e">
        <f>AND(Insects!L21,"AAAAADr7t34=")</f>
        <v>#VALUE!</v>
      </c>
      <c r="DX75" t="e">
        <f>AND(Insects!M21,"AAAAADr7t38=")</f>
        <v>#VALUE!</v>
      </c>
      <c r="DY75" t="e">
        <f>AND(Insects!N21,"AAAAADr7t4A=")</f>
        <v>#VALUE!</v>
      </c>
      <c r="DZ75" t="e">
        <f>AND(Insects!O21,"AAAAADr7t4E=")</f>
        <v>#VALUE!</v>
      </c>
      <c r="EA75" t="e">
        <f>AND(Insects!P21,"AAAAADr7t4I=")</f>
        <v>#VALUE!</v>
      </c>
      <c r="EB75">
        <f>IF(Insects!22:22,"AAAAADr7t4M=",0)</f>
        <v>0</v>
      </c>
      <c r="EC75" t="e">
        <f>AND(Insects!A22,"AAAAADr7t4Q=")</f>
        <v>#VALUE!</v>
      </c>
      <c r="ED75" t="e">
        <f>AND(Insects!B22,"AAAAADr7t4U=")</f>
        <v>#VALUE!</v>
      </c>
      <c r="EE75" t="e">
        <f>AND(Insects!C22,"AAAAADr7t4Y=")</f>
        <v>#VALUE!</v>
      </c>
      <c r="EF75" t="e">
        <f>AND(Insects!D22,"AAAAADr7t4c=")</f>
        <v>#VALUE!</v>
      </c>
      <c r="EG75" t="e">
        <f>AND(Insects!E22,"AAAAADr7t4g=")</f>
        <v>#VALUE!</v>
      </c>
      <c r="EH75" t="e">
        <f>AND(Insects!F22,"AAAAADr7t4k=")</f>
        <v>#VALUE!</v>
      </c>
      <c r="EI75" t="e">
        <f>AND(Insects!G22,"AAAAADr7t4o=")</f>
        <v>#VALUE!</v>
      </c>
      <c r="EJ75" t="e">
        <f>AND(Insects!H22,"AAAAADr7t4s=")</f>
        <v>#VALUE!</v>
      </c>
      <c r="EK75" t="e">
        <f>AND(Insects!I22,"AAAAADr7t4w=")</f>
        <v>#VALUE!</v>
      </c>
      <c r="EL75" t="e">
        <f>AND(Insects!J22,"AAAAADr7t40=")</f>
        <v>#VALUE!</v>
      </c>
      <c r="EM75" t="e">
        <f>AND(Insects!K22,"AAAAADr7t44=")</f>
        <v>#VALUE!</v>
      </c>
      <c r="EN75" t="e">
        <f>AND(Insects!L22,"AAAAADr7t48=")</f>
        <v>#VALUE!</v>
      </c>
      <c r="EO75" t="e">
        <f>AND(Insects!M22,"AAAAADr7t5A=")</f>
        <v>#VALUE!</v>
      </c>
      <c r="EP75" t="e">
        <f>AND(Insects!N22,"AAAAADr7t5E=")</f>
        <v>#VALUE!</v>
      </c>
      <c r="EQ75" t="e">
        <f>AND(Insects!O22,"AAAAADr7t5I=")</f>
        <v>#VALUE!</v>
      </c>
      <c r="ER75" t="e">
        <f>AND(Insects!P22,"AAAAADr7t5M=")</f>
        <v>#VALUE!</v>
      </c>
      <c r="ES75">
        <f>IF(Insects!23:23,"AAAAADr7t5Q=",0)</f>
        <v>0</v>
      </c>
      <c r="ET75" t="e">
        <f>AND(Insects!A23,"AAAAADr7t5U=")</f>
        <v>#VALUE!</v>
      </c>
      <c r="EU75" t="e">
        <f>AND(Insects!B23,"AAAAADr7t5Y=")</f>
        <v>#VALUE!</v>
      </c>
      <c r="EV75" t="e">
        <f>AND(Insects!C23,"AAAAADr7t5c=")</f>
        <v>#VALUE!</v>
      </c>
      <c r="EW75" t="e">
        <f>AND(Insects!D23,"AAAAADr7t5g=")</f>
        <v>#VALUE!</v>
      </c>
      <c r="EX75" t="e">
        <f>AND(Insects!E23,"AAAAADr7t5k=")</f>
        <v>#VALUE!</v>
      </c>
      <c r="EY75" t="e">
        <f>AND(Insects!F23,"AAAAADr7t5o=")</f>
        <v>#VALUE!</v>
      </c>
      <c r="EZ75" t="e">
        <f>AND(Insects!G23,"AAAAADr7t5s=")</f>
        <v>#VALUE!</v>
      </c>
      <c r="FA75" t="e">
        <f>AND(Insects!H23,"AAAAADr7t5w=")</f>
        <v>#VALUE!</v>
      </c>
      <c r="FB75" t="e">
        <f>AND(Insects!I23,"AAAAADr7t50=")</f>
        <v>#VALUE!</v>
      </c>
      <c r="FC75" t="e">
        <f>AND(Insects!J23,"AAAAADr7t54=")</f>
        <v>#VALUE!</v>
      </c>
      <c r="FD75" t="e">
        <f>AND(Insects!K23,"AAAAADr7t58=")</f>
        <v>#VALUE!</v>
      </c>
      <c r="FE75" t="e">
        <f>AND(Insects!L23,"AAAAADr7t6A=")</f>
        <v>#VALUE!</v>
      </c>
      <c r="FF75" t="e">
        <f>AND(Insects!M23,"AAAAADr7t6E=")</f>
        <v>#VALUE!</v>
      </c>
      <c r="FG75" t="e">
        <f>AND(Insects!N23,"AAAAADr7t6I=")</f>
        <v>#VALUE!</v>
      </c>
      <c r="FH75" t="e">
        <f>AND(Insects!O23,"AAAAADr7t6M=")</f>
        <v>#VALUE!</v>
      </c>
      <c r="FI75" t="e">
        <f>AND(Insects!P23,"AAAAADr7t6Q=")</f>
        <v>#VALUE!</v>
      </c>
      <c r="FJ75">
        <f>IF(Insects!24:24,"AAAAADr7t6U=",0)</f>
        <v>0</v>
      </c>
      <c r="FK75" t="e">
        <f>AND(Insects!A24,"AAAAADr7t6Y=")</f>
        <v>#VALUE!</v>
      </c>
      <c r="FL75" t="e">
        <f>AND(Insects!B24,"AAAAADr7t6c=")</f>
        <v>#VALUE!</v>
      </c>
      <c r="FM75" t="e">
        <f>AND(Insects!C24,"AAAAADr7t6g=")</f>
        <v>#VALUE!</v>
      </c>
      <c r="FN75" t="e">
        <f>AND(Insects!D24,"AAAAADr7t6k=")</f>
        <v>#VALUE!</v>
      </c>
      <c r="FO75" t="e">
        <f>AND(Insects!E24,"AAAAADr7t6o=")</f>
        <v>#VALUE!</v>
      </c>
      <c r="FP75" t="e">
        <f>AND(Insects!F24,"AAAAADr7t6s=")</f>
        <v>#VALUE!</v>
      </c>
      <c r="FQ75" t="e">
        <f>AND(Insects!G24,"AAAAADr7t6w=")</f>
        <v>#VALUE!</v>
      </c>
      <c r="FR75" t="e">
        <f>AND(Insects!H24,"AAAAADr7t60=")</f>
        <v>#VALUE!</v>
      </c>
      <c r="FS75" t="e">
        <f>AND(Insects!I24,"AAAAADr7t64=")</f>
        <v>#VALUE!</v>
      </c>
      <c r="FT75" t="e">
        <f>AND(Insects!J24,"AAAAADr7t68=")</f>
        <v>#VALUE!</v>
      </c>
      <c r="FU75" t="e">
        <f>AND(Insects!K24,"AAAAADr7t7A=")</f>
        <v>#VALUE!</v>
      </c>
      <c r="FV75" t="e">
        <f>AND(Insects!L24,"AAAAADr7t7E=")</f>
        <v>#VALUE!</v>
      </c>
      <c r="FW75" t="e">
        <f>AND(Insects!M24,"AAAAADr7t7I=")</f>
        <v>#VALUE!</v>
      </c>
      <c r="FX75" t="e">
        <f>AND(Insects!N24,"AAAAADr7t7M=")</f>
        <v>#VALUE!</v>
      </c>
      <c r="FY75" t="e">
        <f>AND(Insects!O24,"AAAAADr7t7Q=")</f>
        <v>#VALUE!</v>
      </c>
      <c r="FZ75" t="e">
        <f>AND(Insects!P24,"AAAAADr7t7U=")</f>
        <v>#VALUE!</v>
      </c>
      <c r="GA75">
        <f>IF(Insects!25:25,"AAAAADr7t7Y=",0)</f>
        <v>0</v>
      </c>
      <c r="GB75" t="e">
        <f>AND(Insects!A25,"AAAAADr7t7c=")</f>
        <v>#VALUE!</v>
      </c>
      <c r="GC75" t="e">
        <f>AND(Insects!B25,"AAAAADr7t7g=")</f>
        <v>#VALUE!</v>
      </c>
      <c r="GD75" t="e">
        <f>AND(Insects!C25,"AAAAADr7t7k=")</f>
        <v>#VALUE!</v>
      </c>
      <c r="GE75" t="e">
        <f>AND(Insects!D25,"AAAAADr7t7o=")</f>
        <v>#VALUE!</v>
      </c>
      <c r="GF75" t="e">
        <f>AND(Insects!E25,"AAAAADr7t7s=")</f>
        <v>#VALUE!</v>
      </c>
      <c r="GG75" t="e">
        <f>AND(Insects!F25,"AAAAADr7t7w=")</f>
        <v>#VALUE!</v>
      </c>
      <c r="GH75" t="e">
        <f>AND(Insects!G25,"AAAAADr7t70=")</f>
        <v>#VALUE!</v>
      </c>
      <c r="GI75" t="e">
        <f>AND(Insects!H25,"AAAAADr7t74=")</f>
        <v>#VALUE!</v>
      </c>
      <c r="GJ75" t="e">
        <f>AND(Insects!I25,"AAAAADr7t78=")</f>
        <v>#VALUE!</v>
      </c>
      <c r="GK75" t="e">
        <f>AND(Insects!J25,"AAAAADr7t8A=")</f>
        <v>#VALUE!</v>
      </c>
      <c r="GL75" t="e">
        <f>AND(Insects!K25,"AAAAADr7t8E=")</f>
        <v>#VALUE!</v>
      </c>
      <c r="GM75" t="e">
        <f>AND(Insects!L25,"AAAAADr7t8I=")</f>
        <v>#VALUE!</v>
      </c>
      <c r="GN75" t="e">
        <f>AND(Insects!M25,"AAAAADr7t8M=")</f>
        <v>#VALUE!</v>
      </c>
      <c r="GO75" t="e">
        <f>AND(Insects!N25,"AAAAADr7t8Q=")</f>
        <v>#VALUE!</v>
      </c>
      <c r="GP75" t="e">
        <f>AND(Insects!O25,"AAAAADr7t8U=")</f>
        <v>#VALUE!</v>
      </c>
      <c r="GQ75" t="e">
        <f>AND(Insects!P25,"AAAAADr7t8Y=")</f>
        <v>#VALUE!</v>
      </c>
      <c r="GR75">
        <f>IF(Insects!26:26,"AAAAADr7t8c=",0)</f>
        <v>0</v>
      </c>
      <c r="GS75" t="e">
        <f>AND(Insects!A26,"AAAAADr7t8g=")</f>
        <v>#VALUE!</v>
      </c>
      <c r="GT75" t="e">
        <f>AND(Insects!B26,"AAAAADr7t8k=")</f>
        <v>#VALUE!</v>
      </c>
      <c r="GU75" t="e">
        <f>AND(Insects!C26,"AAAAADr7t8o=")</f>
        <v>#VALUE!</v>
      </c>
      <c r="GV75" t="e">
        <f>AND(Insects!D26,"AAAAADr7t8s=")</f>
        <v>#VALUE!</v>
      </c>
      <c r="GW75" t="e">
        <f>AND(Insects!E26,"AAAAADr7t8w=")</f>
        <v>#VALUE!</v>
      </c>
      <c r="GX75" t="e">
        <f>AND(Insects!F26,"AAAAADr7t80=")</f>
        <v>#VALUE!</v>
      </c>
      <c r="GY75" t="e">
        <f>AND(Insects!G26,"AAAAADr7t84=")</f>
        <v>#VALUE!</v>
      </c>
      <c r="GZ75" t="e">
        <f>AND(Insects!H26,"AAAAADr7t88=")</f>
        <v>#VALUE!</v>
      </c>
      <c r="HA75" t="e">
        <f>AND(Insects!I26,"AAAAADr7t9A=")</f>
        <v>#VALUE!</v>
      </c>
      <c r="HB75" t="e">
        <f>AND(Insects!J26,"AAAAADr7t9E=")</f>
        <v>#VALUE!</v>
      </c>
      <c r="HC75" t="e">
        <f>AND(Insects!K26,"AAAAADr7t9I=")</f>
        <v>#VALUE!</v>
      </c>
      <c r="HD75" t="e">
        <f>AND(Insects!L26,"AAAAADr7t9M=")</f>
        <v>#VALUE!</v>
      </c>
      <c r="HE75" t="e">
        <f>AND(Insects!M26,"AAAAADr7t9Q=")</f>
        <v>#VALUE!</v>
      </c>
      <c r="HF75" t="e">
        <f>AND(Insects!N26,"AAAAADr7t9U=")</f>
        <v>#VALUE!</v>
      </c>
      <c r="HG75" t="e">
        <f>AND(Insects!O26,"AAAAADr7t9Y=")</f>
        <v>#VALUE!</v>
      </c>
      <c r="HH75" t="e">
        <f>AND(Insects!P26,"AAAAADr7t9c=")</f>
        <v>#VALUE!</v>
      </c>
      <c r="HI75">
        <f>IF(Insects!27:27,"AAAAADr7t9g=",0)</f>
        <v>0</v>
      </c>
      <c r="HJ75" t="e">
        <f>AND(Insects!A27,"AAAAADr7t9k=")</f>
        <v>#VALUE!</v>
      </c>
      <c r="HK75" t="e">
        <f>AND(Insects!B27,"AAAAADr7t9o=")</f>
        <v>#VALUE!</v>
      </c>
      <c r="HL75" t="e">
        <f>AND(Insects!C27,"AAAAADr7t9s=")</f>
        <v>#VALUE!</v>
      </c>
      <c r="HM75" t="e">
        <f>AND(Insects!D27,"AAAAADr7t9w=")</f>
        <v>#VALUE!</v>
      </c>
      <c r="HN75" t="e">
        <f>AND(Insects!E27,"AAAAADr7t90=")</f>
        <v>#VALUE!</v>
      </c>
      <c r="HO75" t="e">
        <f>AND(Insects!F27,"AAAAADr7t94=")</f>
        <v>#VALUE!</v>
      </c>
      <c r="HP75" t="e">
        <f>AND(Insects!G27,"AAAAADr7t98=")</f>
        <v>#VALUE!</v>
      </c>
      <c r="HQ75" t="e">
        <f>AND(Insects!H27,"AAAAADr7t+A=")</f>
        <v>#VALUE!</v>
      </c>
      <c r="HR75" t="e">
        <f>AND(Insects!I27,"AAAAADr7t+E=")</f>
        <v>#VALUE!</v>
      </c>
      <c r="HS75" t="e">
        <f>AND(Insects!J27,"AAAAADr7t+I=")</f>
        <v>#VALUE!</v>
      </c>
      <c r="HT75" t="e">
        <f>AND(Insects!K27,"AAAAADr7t+M=")</f>
        <v>#VALUE!</v>
      </c>
      <c r="HU75" t="e">
        <f>AND(Insects!L27,"AAAAADr7t+Q=")</f>
        <v>#VALUE!</v>
      </c>
      <c r="HV75" t="e">
        <f>AND(Insects!M27,"AAAAADr7t+U=")</f>
        <v>#VALUE!</v>
      </c>
      <c r="HW75" t="e">
        <f>AND(Insects!N27,"AAAAADr7t+Y=")</f>
        <v>#VALUE!</v>
      </c>
      <c r="HX75" t="e">
        <f>AND(Insects!O27,"AAAAADr7t+c=")</f>
        <v>#VALUE!</v>
      </c>
      <c r="HY75" t="e">
        <f>AND(Insects!P27,"AAAAADr7t+g=")</f>
        <v>#VALUE!</v>
      </c>
      <c r="HZ75">
        <f>IF(Insects!28:28,"AAAAADr7t+k=",0)</f>
        <v>0</v>
      </c>
      <c r="IA75" t="e">
        <f>AND(Insects!A28,"AAAAADr7t+o=")</f>
        <v>#VALUE!</v>
      </c>
      <c r="IB75" t="e">
        <f>AND(Insects!B28,"AAAAADr7t+s=")</f>
        <v>#VALUE!</v>
      </c>
      <c r="IC75" t="e">
        <f>AND(Insects!C28,"AAAAADr7t+w=")</f>
        <v>#VALUE!</v>
      </c>
      <c r="ID75" t="e">
        <f>AND(Insects!D28,"AAAAADr7t+0=")</f>
        <v>#VALUE!</v>
      </c>
      <c r="IE75" t="e">
        <f>AND(Insects!E28,"AAAAADr7t+4=")</f>
        <v>#VALUE!</v>
      </c>
      <c r="IF75" t="e">
        <f>AND(Insects!F28,"AAAAADr7t+8=")</f>
        <v>#VALUE!</v>
      </c>
      <c r="IG75" t="e">
        <f>AND(Insects!G28,"AAAAADr7t/A=")</f>
        <v>#VALUE!</v>
      </c>
      <c r="IH75" t="e">
        <f>AND(Insects!H28,"AAAAADr7t/E=")</f>
        <v>#VALUE!</v>
      </c>
      <c r="II75" t="e">
        <f>AND(Insects!I28,"AAAAADr7t/I=")</f>
        <v>#VALUE!</v>
      </c>
      <c r="IJ75" t="e">
        <f>AND(Insects!J28,"AAAAADr7t/M=")</f>
        <v>#VALUE!</v>
      </c>
      <c r="IK75" t="e">
        <f>AND(Insects!K28,"AAAAADr7t/Q=")</f>
        <v>#VALUE!</v>
      </c>
      <c r="IL75" t="e">
        <f>AND(Insects!L28,"AAAAADr7t/U=")</f>
        <v>#VALUE!</v>
      </c>
      <c r="IM75" t="e">
        <f>AND(Insects!M28,"AAAAADr7t/Y=")</f>
        <v>#VALUE!</v>
      </c>
      <c r="IN75" t="e">
        <f>AND(Insects!N28,"AAAAADr7t/c=")</f>
        <v>#VALUE!</v>
      </c>
      <c r="IO75" t="e">
        <f>AND(Insects!O28,"AAAAADr7t/g=")</f>
        <v>#VALUE!</v>
      </c>
      <c r="IP75" t="e">
        <f>AND(Insects!P28,"AAAAADr7t/k=")</f>
        <v>#VALUE!</v>
      </c>
      <c r="IQ75">
        <f>IF(Insects!29:29,"AAAAADr7t/o=",0)</f>
        <v>0</v>
      </c>
      <c r="IR75" t="e">
        <f>AND(Insects!A29,"AAAAADr7t/s=")</f>
        <v>#VALUE!</v>
      </c>
      <c r="IS75" t="e">
        <f>AND(Insects!B29,"AAAAADr7t/w=")</f>
        <v>#VALUE!</v>
      </c>
      <c r="IT75" t="e">
        <f>AND(Insects!C29,"AAAAADr7t/0=")</f>
        <v>#VALUE!</v>
      </c>
      <c r="IU75" t="e">
        <f>AND(Insects!D29,"AAAAADr7t/4=")</f>
        <v>#VALUE!</v>
      </c>
      <c r="IV75" t="e">
        <f>AND(Insects!E29,"AAAAADr7t/8=")</f>
        <v>#VALUE!</v>
      </c>
    </row>
    <row r="76" spans="1:256">
      <c r="A76" t="e">
        <f>AND(Insects!F29,"AAAAAH7/awA=")</f>
        <v>#VALUE!</v>
      </c>
      <c r="B76" t="e">
        <f>AND(Insects!G29,"AAAAAH7/awE=")</f>
        <v>#VALUE!</v>
      </c>
      <c r="C76" t="e">
        <f>AND(Insects!H29,"AAAAAH7/awI=")</f>
        <v>#VALUE!</v>
      </c>
      <c r="D76" t="e">
        <f>AND(Insects!I29,"AAAAAH7/awM=")</f>
        <v>#VALUE!</v>
      </c>
      <c r="E76" t="e">
        <f>AND(Insects!J29,"AAAAAH7/awQ=")</f>
        <v>#VALUE!</v>
      </c>
      <c r="F76" t="e">
        <f>AND(Insects!K29,"AAAAAH7/awU=")</f>
        <v>#VALUE!</v>
      </c>
      <c r="G76" t="e">
        <f>AND(Insects!L29,"AAAAAH7/awY=")</f>
        <v>#VALUE!</v>
      </c>
      <c r="H76" t="e">
        <f>AND(Insects!M29,"AAAAAH7/awc=")</f>
        <v>#VALUE!</v>
      </c>
      <c r="I76" t="e">
        <f>AND(Insects!N29,"AAAAAH7/awg=")</f>
        <v>#VALUE!</v>
      </c>
      <c r="J76" t="e">
        <f>AND(Insects!O29,"AAAAAH7/awk=")</f>
        <v>#VALUE!</v>
      </c>
      <c r="K76" t="e">
        <f>AND(Insects!P29,"AAAAAH7/awo=")</f>
        <v>#VALUE!</v>
      </c>
      <c r="L76">
        <f>IF(Insects!30:30,"AAAAAH7/aws=",0)</f>
        <v>0</v>
      </c>
      <c r="M76" t="e">
        <f>AND(Insects!A30,"AAAAAH7/aww=")</f>
        <v>#VALUE!</v>
      </c>
      <c r="N76" t="e">
        <f>AND(Insects!B30,"AAAAAH7/aw0=")</f>
        <v>#VALUE!</v>
      </c>
      <c r="O76" t="e">
        <f>AND(Insects!C30,"AAAAAH7/aw4=")</f>
        <v>#VALUE!</v>
      </c>
      <c r="P76" t="e">
        <f>AND(Insects!D30,"AAAAAH7/aw8=")</f>
        <v>#VALUE!</v>
      </c>
      <c r="Q76" t="e">
        <f>AND(Insects!E30,"AAAAAH7/axA=")</f>
        <v>#VALUE!</v>
      </c>
      <c r="R76" t="e">
        <f>AND(Insects!F30,"AAAAAH7/axE=")</f>
        <v>#VALUE!</v>
      </c>
      <c r="S76" t="e">
        <f>AND(Insects!G30,"AAAAAH7/axI=")</f>
        <v>#VALUE!</v>
      </c>
      <c r="T76" t="e">
        <f>AND(Insects!H30,"AAAAAH7/axM=")</f>
        <v>#VALUE!</v>
      </c>
      <c r="U76" t="e">
        <f>AND(Insects!I30,"AAAAAH7/axQ=")</f>
        <v>#VALUE!</v>
      </c>
      <c r="V76" t="e">
        <f>AND(Insects!J30,"AAAAAH7/axU=")</f>
        <v>#VALUE!</v>
      </c>
      <c r="W76" t="e">
        <f>AND(Insects!K30,"AAAAAH7/axY=")</f>
        <v>#VALUE!</v>
      </c>
      <c r="X76" t="e">
        <f>AND(Insects!L30,"AAAAAH7/axc=")</f>
        <v>#VALUE!</v>
      </c>
      <c r="Y76" t="e">
        <f>AND(Insects!M30,"AAAAAH7/axg=")</f>
        <v>#VALUE!</v>
      </c>
      <c r="Z76" t="e">
        <f>AND(Insects!N30,"AAAAAH7/axk=")</f>
        <v>#VALUE!</v>
      </c>
      <c r="AA76" t="e">
        <f>AND(Insects!O30,"AAAAAH7/axo=")</f>
        <v>#VALUE!</v>
      </c>
      <c r="AB76" t="e">
        <f>AND(Insects!P30,"AAAAAH7/axs=")</f>
        <v>#VALUE!</v>
      </c>
      <c r="AC76">
        <f>IF(Insects!31:31,"AAAAAH7/axw=",0)</f>
        <v>0</v>
      </c>
      <c r="AD76" t="e">
        <f>AND(Insects!A31,"AAAAAH7/ax0=")</f>
        <v>#VALUE!</v>
      </c>
      <c r="AE76" t="e">
        <f>AND(Insects!B31,"AAAAAH7/ax4=")</f>
        <v>#VALUE!</v>
      </c>
      <c r="AF76" t="e">
        <f>AND(Insects!C31,"AAAAAH7/ax8=")</f>
        <v>#VALUE!</v>
      </c>
      <c r="AG76" t="e">
        <f>AND(Insects!D31,"AAAAAH7/ayA=")</f>
        <v>#VALUE!</v>
      </c>
      <c r="AH76" t="e">
        <f>AND(Insects!E31,"AAAAAH7/ayE=")</f>
        <v>#VALUE!</v>
      </c>
      <c r="AI76" t="e">
        <f>AND(Insects!F31,"AAAAAH7/ayI=")</f>
        <v>#VALUE!</v>
      </c>
      <c r="AJ76" t="e">
        <f>AND(Insects!G31,"AAAAAH7/ayM=")</f>
        <v>#VALUE!</v>
      </c>
      <c r="AK76" t="e">
        <f>AND(Insects!H31,"AAAAAH7/ayQ=")</f>
        <v>#VALUE!</v>
      </c>
      <c r="AL76" t="e">
        <f>AND(Insects!I31,"AAAAAH7/ayU=")</f>
        <v>#VALUE!</v>
      </c>
      <c r="AM76" t="e">
        <f>AND(Insects!J31,"AAAAAH7/ayY=")</f>
        <v>#VALUE!</v>
      </c>
      <c r="AN76" t="e">
        <f>AND(Insects!K31,"AAAAAH7/ayc=")</f>
        <v>#VALUE!</v>
      </c>
      <c r="AO76" t="e">
        <f>AND(Insects!L31,"AAAAAH7/ayg=")</f>
        <v>#VALUE!</v>
      </c>
      <c r="AP76" t="e">
        <f>AND(Insects!M31,"AAAAAH7/ayk=")</f>
        <v>#VALUE!</v>
      </c>
      <c r="AQ76" t="e">
        <f>AND(Insects!N31,"AAAAAH7/ayo=")</f>
        <v>#VALUE!</v>
      </c>
      <c r="AR76" t="e">
        <f>AND(Insects!O31,"AAAAAH7/ays=")</f>
        <v>#VALUE!</v>
      </c>
      <c r="AS76" t="e">
        <f>AND(Insects!P31,"AAAAAH7/ayw=")</f>
        <v>#VALUE!</v>
      </c>
      <c r="AT76">
        <f>IF(Insects!32:32,"AAAAAH7/ay0=",0)</f>
        <v>0</v>
      </c>
      <c r="AU76" t="e">
        <f>AND(Insects!A32,"AAAAAH7/ay4=")</f>
        <v>#VALUE!</v>
      </c>
      <c r="AV76" t="e">
        <f>AND(Insects!B32,"AAAAAH7/ay8=")</f>
        <v>#VALUE!</v>
      </c>
      <c r="AW76" t="e">
        <f>AND(Insects!C32,"AAAAAH7/azA=")</f>
        <v>#VALUE!</v>
      </c>
      <c r="AX76" t="e">
        <f>AND(Insects!D32,"AAAAAH7/azE=")</f>
        <v>#VALUE!</v>
      </c>
      <c r="AY76" t="e">
        <f>AND(Insects!E32,"AAAAAH7/azI=")</f>
        <v>#VALUE!</v>
      </c>
      <c r="AZ76" t="e">
        <f>AND(Insects!F32,"AAAAAH7/azM=")</f>
        <v>#VALUE!</v>
      </c>
      <c r="BA76" t="e">
        <f>AND(Insects!G32,"AAAAAH7/azQ=")</f>
        <v>#VALUE!</v>
      </c>
      <c r="BB76" t="e">
        <f>AND(Insects!H32,"AAAAAH7/azU=")</f>
        <v>#VALUE!</v>
      </c>
      <c r="BC76" t="e">
        <f>AND(Insects!I32,"AAAAAH7/azY=")</f>
        <v>#VALUE!</v>
      </c>
      <c r="BD76" t="e">
        <f>AND(Insects!J32,"AAAAAH7/azc=")</f>
        <v>#VALUE!</v>
      </c>
      <c r="BE76" t="e">
        <f>AND(Insects!K32,"AAAAAH7/azg=")</f>
        <v>#VALUE!</v>
      </c>
      <c r="BF76" t="e">
        <f>AND(Insects!L32,"AAAAAH7/azk=")</f>
        <v>#VALUE!</v>
      </c>
      <c r="BG76" t="e">
        <f>AND(Insects!M32,"AAAAAH7/azo=")</f>
        <v>#VALUE!</v>
      </c>
      <c r="BH76" t="e">
        <f>AND(Insects!N32,"AAAAAH7/azs=")</f>
        <v>#VALUE!</v>
      </c>
      <c r="BI76" t="e">
        <f>AND(Insects!O32,"AAAAAH7/azw=")</f>
        <v>#VALUE!</v>
      </c>
      <c r="BJ76" t="e">
        <f>AND(Insects!P32,"AAAAAH7/az0=")</f>
        <v>#VALUE!</v>
      </c>
      <c r="BK76">
        <f>IF(Insects!33:33,"AAAAAH7/az4=",0)</f>
        <v>0</v>
      </c>
      <c r="BL76" t="e">
        <f>AND(Insects!A33,"AAAAAH7/az8=")</f>
        <v>#VALUE!</v>
      </c>
      <c r="BM76" t="e">
        <f>AND(Insects!B33,"AAAAAH7/a0A=")</f>
        <v>#VALUE!</v>
      </c>
      <c r="BN76" t="e">
        <f>AND(Insects!C33,"AAAAAH7/a0E=")</f>
        <v>#VALUE!</v>
      </c>
      <c r="BO76" t="e">
        <f>AND(Insects!D33,"AAAAAH7/a0I=")</f>
        <v>#VALUE!</v>
      </c>
      <c r="BP76" t="e">
        <f>AND(Insects!E33,"AAAAAH7/a0M=")</f>
        <v>#VALUE!</v>
      </c>
      <c r="BQ76" t="e">
        <f>AND(Insects!F33,"AAAAAH7/a0Q=")</f>
        <v>#VALUE!</v>
      </c>
      <c r="BR76" t="e">
        <f>AND(Insects!G33,"AAAAAH7/a0U=")</f>
        <v>#VALUE!</v>
      </c>
      <c r="BS76" t="e">
        <f>AND(Insects!H33,"AAAAAH7/a0Y=")</f>
        <v>#VALUE!</v>
      </c>
      <c r="BT76" t="e">
        <f>AND(Insects!I33,"AAAAAH7/a0c=")</f>
        <v>#VALUE!</v>
      </c>
      <c r="BU76" t="e">
        <f>AND(Insects!J33,"AAAAAH7/a0g=")</f>
        <v>#VALUE!</v>
      </c>
      <c r="BV76" t="e">
        <f>AND(Insects!K33,"AAAAAH7/a0k=")</f>
        <v>#VALUE!</v>
      </c>
      <c r="BW76" t="e">
        <f>AND(Insects!L33,"AAAAAH7/a0o=")</f>
        <v>#VALUE!</v>
      </c>
      <c r="BX76" t="e">
        <f>AND(Insects!M33,"AAAAAH7/a0s=")</f>
        <v>#VALUE!</v>
      </c>
      <c r="BY76" t="e">
        <f>AND(Insects!N33,"AAAAAH7/a0w=")</f>
        <v>#VALUE!</v>
      </c>
      <c r="BZ76" t="e">
        <f>AND(Insects!O33,"AAAAAH7/a00=")</f>
        <v>#VALUE!</v>
      </c>
      <c r="CA76" t="e">
        <f>AND(Insects!P33,"AAAAAH7/a04=")</f>
        <v>#VALUE!</v>
      </c>
      <c r="CB76">
        <f>IF(Insects!34:34,"AAAAAH7/a08=",0)</f>
        <v>0</v>
      </c>
      <c r="CC76" t="e">
        <f>AND(Insects!A34,"AAAAAH7/a1A=")</f>
        <v>#VALUE!</v>
      </c>
      <c r="CD76" t="e">
        <f>AND(Insects!B34,"AAAAAH7/a1E=")</f>
        <v>#VALUE!</v>
      </c>
      <c r="CE76" t="e">
        <f>AND(Insects!C34,"AAAAAH7/a1I=")</f>
        <v>#VALUE!</v>
      </c>
      <c r="CF76" t="e">
        <f>AND(Insects!D34,"AAAAAH7/a1M=")</f>
        <v>#VALUE!</v>
      </c>
      <c r="CG76" t="e">
        <f>AND(Insects!E34,"AAAAAH7/a1Q=")</f>
        <v>#VALUE!</v>
      </c>
      <c r="CH76" t="e">
        <f>AND(Insects!F34,"AAAAAH7/a1U=")</f>
        <v>#VALUE!</v>
      </c>
      <c r="CI76" t="e">
        <f>AND(Insects!G34,"AAAAAH7/a1Y=")</f>
        <v>#VALUE!</v>
      </c>
      <c r="CJ76" t="e">
        <f>AND(Insects!H34,"AAAAAH7/a1c=")</f>
        <v>#VALUE!</v>
      </c>
      <c r="CK76" t="e">
        <f>AND(Insects!I34,"AAAAAH7/a1g=")</f>
        <v>#VALUE!</v>
      </c>
      <c r="CL76" t="e">
        <f>AND(Insects!J34,"AAAAAH7/a1k=")</f>
        <v>#VALUE!</v>
      </c>
      <c r="CM76" t="e">
        <f>AND(Insects!K34,"AAAAAH7/a1o=")</f>
        <v>#VALUE!</v>
      </c>
      <c r="CN76" t="e">
        <f>AND(Insects!L34,"AAAAAH7/a1s=")</f>
        <v>#VALUE!</v>
      </c>
      <c r="CO76" t="e">
        <f>AND(Insects!M34,"AAAAAH7/a1w=")</f>
        <v>#VALUE!</v>
      </c>
      <c r="CP76" t="e">
        <f>AND(Insects!N34,"AAAAAH7/a10=")</f>
        <v>#VALUE!</v>
      </c>
      <c r="CQ76" t="e">
        <f>AND(Insects!O34,"AAAAAH7/a14=")</f>
        <v>#VALUE!</v>
      </c>
      <c r="CR76" t="e">
        <f>AND(Insects!P34,"AAAAAH7/a18=")</f>
        <v>#VALUE!</v>
      </c>
      <c r="CS76">
        <f>IF(Insects!35:35,"AAAAAH7/a2A=",0)</f>
        <v>0</v>
      </c>
      <c r="CT76" t="e">
        <f>AND(Insects!A35,"AAAAAH7/a2E=")</f>
        <v>#VALUE!</v>
      </c>
      <c r="CU76" t="e">
        <f>AND(Insects!B35,"AAAAAH7/a2I=")</f>
        <v>#VALUE!</v>
      </c>
      <c r="CV76" t="e">
        <f>AND(Insects!C35,"AAAAAH7/a2M=")</f>
        <v>#VALUE!</v>
      </c>
      <c r="CW76" t="e">
        <f>AND(Insects!D35,"AAAAAH7/a2Q=")</f>
        <v>#VALUE!</v>
      </c>
      <c r="CX76" t="e">
        <f>AND(Insects!E35,"AAAAAH7/a2U=")</f>
        <v>#VALUE!</v>
      </c>
      <c r="CY76" t="e">
        <f>AND(Insects!F35,"AAAAAH7/a2Y=")</f>
        <v>#VALUE!</v>
      </c>
      <c r="CZ76" t="e">
        <f>AND(Insects!G35,"AAAAAH7/a2c=")</f>
        <v>#VALUE!</v>
      </c>
      <c r="DA76" t="e">
        <f>AND(Insects!H35,"AAAAAH7/a2g=")</f>
        <v>#VALUE!</v>
      </c>
      <c r="DB76" t="e">
        <f>AND(Insects!I35,"AAAAAH7/a2k=")</f>
        <v>#VALUE!</v>
      </c>
      <c r="DC76" t="e">
        <f>AND(Insects!J35,"AAAAAH7/a2o=")</f>
        <v>#VALUE!</v>
      </c>
      <c r="DD76" t="e">
        <f>AND(Insects!K35,"AAAAAH7/a2s=")</f>
        <v>#VALUE!</v>
      </c>
      <c r="DE76" t="e">
        <f>AND(Insects!L35,"AAAAAH7/a2w=")</f>
        <v>#VALUE!</v>
      </c>
      <c r="DF76" t="e">
        <f>AND(Insects!M35,"AAAAAH7/a20=")</f>
        <v>#VALUE!</v>
      </c>
      <c r="DG76" t="e">
        <f>AND(Insects!N35,"AAAAAH7/a24=")</f>
        <v>#VALUE!</v>
      </c>
      <c r="DH76" t="e">
        <f>AND(Insects!O35,"AAAAAH7/a28=")</f>
        <v>#VALUE!</v>
      </c>
      <c r="DI76" t="e">
        <f>AND(Insects!P35,"AAAAAH7/a3A=")</f>
        <v>#VALUE!</v>
      </c>
      <c r="DJ76">
        <f>IF(Insects!36:36,"AAAAAH7/a3E=",0)</f>
        <v>0</v>
      </c>
      <c r="DK76" t="e">
        <f>AND(Insects!A36,"AAAAAH7/a3I=")</f>
        <v>#VALUE!</v>
      </c>
      <c r="DL76" t="e">
        <f>AND(Insects!B36,"AAAAAH7/a3M=")</f>
        <v>#VALUE!</v>
      </c>
      <c r="DM76" t="e">
        <f>AND(Insects!C36,"AAAAAH7/a3Q=")</f>
        <v>#VALUE!</v>
      </c>
      <c r="DN76" t="e">
        <f>AND(Insects!D36,"AAAAAH7/a3U=")</f>
        <v>#VALUE!</v>
      </c>
      <c r="DO76" t="e">
        <f>AND(Insects!E36,"AAAAAH7/a3Y=")</f>
        <v>#VALUE!</v>
      </c>
      <c r="DP76" t="e">
        <f>AND(Insects!F36,"AAAAAH7/a3c=")</f>
        <v>#VALUE!</v>
      </c>
      <c r="DQ76" t="e">
        <f>AND(Insects!G36,"AAAAAH7/a3g=")</f>
        <v>#VALUE!</v>
      </c>
      <c r="DR76" t="e">
        <f>AND(Insects!H36,"AAAAAH7/a3k=")</f>
        <v>#VALUE!</v>
      </c>
      <c r="DS76" t="e">
        <f>AND(Insects!I36,"AAAAAH7/a3o=")</f>
        <v>#VALUE!</v>
      </c>
      <c r="DT76" t="e">
        <f>AND(Insects!J36,"AAAAAH7/a3s=")</f>
        <v>#VALUE!</v>
      </c>
      <c r="DU76" t="e">
        <f>AND(Insects!K36,"AAAAAH7/a3w=")</f>
        <v>#VALUE!</v>
      </c>
      <c r="DV76" t="e">
        <f>AND(Insects!L36,"AAAAAH7/a30=")</f>
        <v>#VALUE!</v>
      </c>
      <c r="DW76" t="e">
        <f>AND(Insects!M36,"AAAAAH7/a34=")</f>
        <v>#VALUE!</v>
      </c>
      <c r="DX76" t="e">
        <f>AND(Insects!N36,"AAAAAH7/a38=")</f>
        <v>#VALUE!</v>
      </c>
      <c r="DY76" t="e">
        <f>AND(Insects!O36,"AAAAAH7/a4A=")</f>
        <v>#VALUE!</v>
      </c>
      <c r="DZ76" t="e">
        <f>AND(Insects!P36,"AAAAAH7/a4E=")</f>
        <v>#VALUE!</v>
      </c>
      <c r="EA76">
        <f>IF(Insects!37:37,"AAAAAH7/a4I=",0)</f>
        <v>0</v>
      </c>
      <c r="EB76" t="e">
        <f>AND(Insects!A37,"AAAAAH7/a4M=")</f>
        <v>#VALUE!</v>
      </c>
      <c r="EC76" t="e">
        <f>AND(Insects!B37,"AAAAAH7/a4Q=")</f>
        <v>#VALUE!</v>
      </c>
      <c r="ED76" t="e">
        <f>AND(Insects!C37,"AAAAAH7/a4U=")</f>
        <v>#VALUE!</v>
      </c>
      <c r="EE76" t="e">
        <f>AND(Insects!D37,"AAAAAH7/a4Y=")</f>
        <v>#VALUE!</v>
      </c>
      <c r="EF76" t="e">
        <f>AND(Insects!E37,"AAAAAH7/a4c=")</f>
        <v>#VALUE!</v>
      </c>
      <c r="EG76" t="e">
        <f>AND(Insects!F37,"AAAAAH7/a4g=")</f>
        <v>#VALUE!</v>
      </c>
      <c r="EH76" t="e">
        <f>AND(Insects!G37,"AAAAAH7/a4k=")</f>
        <v>#VALUE!</v>
      </c>
      <c r="EI76" t="e">
        <f>AND(Insects!H37,"AAAAAH7/a4o=")</f>
        <v>#VALUE!</v>
      </c>
      <c r="EJ76" t="e">
        <f>AND(Insects!I37,"AAAAAH7/a4s=")</f>
        <v>#VALUE!</v>
      </c>
      <c r="EK76" t="e">
        <f>AND(Insects!J37,"AAAAAH7/a4w=")</f>
        <v>#VALUE!</v>
      </c>
      <c r="EL76" t="e">
        <f>AND(Insects!K37,"AAAAAH7/a40=")</f>
        <v>#VALUE!</v>
      </c>
      <c r="EM76" t="e">
        <f>AND(Insects!L37,"AAAAAH7/a44=")</f>
        <v>#VALUE!</v>
      </c>
      <c r="EN76" t="e">
        <f>AND(Insects!M37,"AAAAAH7/a48=")</f>
        <v>#VALUE!</v>
      </c>
      <c r="EO76" t="e">
        <f>AND(Insects!N37,"AAAAAH7/a5A=")</f>
        <v>#VALUE!</v>
      </c>
      <c r="EP76" t="e">
        <f>AND(Insects!O37,"AAAAAH7/a5E=")</f>
        <v>#VALUE!</v>
      </c>
      <c r="EQ76" t="e">
        <f>AND(Insects!P37,"AAAAAH7/a5I=")</f>
        <v>#VALUE!</v>
      </c>
      <c r="ER76">
        <f>IF(Insects!38:38,"AAAAAH7/a5M=",0)</f>
        <v>0</v>
      </c>
      <c r="ES76" t="e">
        <f>AND(Insects!A38,"AAAAAH7/a5Q=")</f>
        <v>#VALUE!</v>
      </c>
      <c r="ET76" t="e">
        <f>AND(Insects!B38,"AAAAAH7/a5U=")</f>
        <v>#VALUE!</v>
      </c>
      <c r="EU76" t="e">
        <f>AND(Insects!C38,"AAAAAH7/a5Y=")</f>
        <v>#VALUE!</v>
      </c>
      <c r="EV76" t="e">
        <f>AND(Insects!D38,"AAAAAH7/a5c=")</f>
        <v>#VALUE!</v>
      </c>
      <c r="EW76" t="e">
        <f>AND(Insects!E38,"AAAAAH7/a5g=")</f>
        <v>#VALUE!</v>
      </c>
      <c r="EX76" t="e">
        <f>AND(Insects!F38,"AAAAAH7/a5k=")</f>
        <v>#VALUE!</v>
      </c>
      <c r="EY76" t="e">
        <f>AND(Insects!G38,"AAAAAH7/a5o=")</f>
        <v>#VALUE!</v>
      </c>
      <c r="EZ76" t="e">
        <f>AND(Insects!H38,"AAAAAH7/a5s=")</f>
        <v>#VALUE!</v>
      </c>
      <c r="FA76" t="e">
        <f>AND(Insects!I38,"AAAAAH7/a5w=")</f>
        <v>#VALUE!</v>
      </c>
      <c r="FB76" t="e">
        <f>AND(Insects!J38,"AAAAAH7/a50=")</f>
        <v>#VALUE!</v>
      </c>
      <c r="FC76" t="e">
        <f>AND(Insects!K38,"AAAAAH7/a54=")</f>
        <v>#VALUE!</v>
      </c>
      <c r="FD76" t="e">
        <f>AND(Insects!L38,"AAAAAH7/a58=")</f>
        <v>#VALUE!</v>
      </c>
      <c r="FE76" t="e">
        <f>AND(Insects!M38,"AAAAAH7/a6A=")</f>
        <v>#VALUE!</v>
      </c>
      <c r="FF76" t="e">
        <f>AND(Insects!N38,"AAAAAH7/a6E=")</f>
        <v>#VALUE!</v>
      </c>
      <c r="FG76" t="e">
        <f>AND(Insects!O38,"AAAAAH7/a6I=")</f>
        <v>#VALUE!</v>
      </c>
      <c r="FH76" t="e">
        <f>AND(Insects!P38,"AAAAAH7/a6M=")</f>
        <v>#VALUE!</v>
      </c>
      <c r="FI76">
        <f>IF(Insects!39:39,"AAAAAH7/a6Q=",0)</f>
        <v>0</v>
      </c>
      <c r="FJ76" t="e">
        <f>AND(Insects!A39,"AAAAAH7/a6U=")</f>
        <v>#VALUE!</v>
      </c>
      <c r="FK76" t="e">
        <f>AND(Insects!B39,"AAAAAH7/a6Y=")</f>
        <v>#VALUE!</v>
      </c>
      <c r="FL76" t="e">
        <f>AND(Insects!C39,"AAAAAH7/a6c=")</f>
        <v>#VALUE!</v>
      </c>
      <c r="FM76" t="e">
        <f>AND(Insects!D39,"AAAAAH7/a6g=")</f>
        <v>#VALUE!</v>
      </c>
      <c r="FN76" t="e">
        <f>AND(Insects!E39,"AAAAAH7/a6k=")</f>
        <v>#VALUE!</v>
      </c>
      <c r="FO76" t="e">
        <f>AND(Insects!F39,"AAAAAH7/a6o=")</f>
        <v>#VALUE!</v>
      </c>
      <c r="FP76" t="e">
        <f>AND(Insects!G39,"AAAAAH7/a6s=")</f>
        <v>#VALUE!</v>
      </c>
      <c r="FQ76" t="e">
        <f>AND(Insects!H39,"AAAAAH7/a6w=")</f>
        <v>#VALUE!</v>
      </c>
      <c r="FR76" t="e">
        <f>AND(Insects!I39,"AAAAAH7/a60=")</f>
        <v>#VALUE!</v>
      </c>
      <c r="FS76" t="e">
        <f>AND(Insects!J39,"AAAAAH7/a64=")</f>
        <v>#VALUE!</v>
      </c>
      <c r="FT76" t="e">
        <f>AND(Insects!K39,"AAAAAH7/a68=")</f>
        <v>#VALUE!</v>
      </c>
      <c r="FU76" t="e">
        <f>AND(Insects!L39,"AAAAAH7/a7A=")</f>
        <v>#VALUE!</v>
      </c>
      <c r="FV76" t="e">
        <f>AND(Insects!M39,"AAAAAH7/a7E=")</f>
        <v>#VALUE!</v>
      </c>
      <c r="FW76" t="e">
        <f>AND(Insects!N39,"AAAAAH7/a7I=")</f>
        <v>#VALUE!</v>
      </c>
      <c r="FX76" t="e">
        <f>AND(Insects!O39,"AAAAAH7/a7M=")</f>
        <v>#VALUE!</v>
      </c>
      <c r="FY76" t="e">
        <f>AND(Insects!P39,"AAAAAH7/a7Q=")</f>
        <v>#VALUE!</v>
      </c>
      <c r="FZ76">
        <f>IF(Insects!40:40,"AAAAAH7/a7U=",0)</f>
        <v>0</v>
      </c>
      <c r="GA76" t="e">
        <f>AND(Insects!A40,"AAAAAH7/a7Y=")</f>
        <v>#VALUE!</v>
      </c>
      <c r="GB76" t="e">
        <f>AND(Insects!B40,"AAAAAH7/a7c=")</f>
        <v>#VALUE!</v>
      </c>
      <c r="GC76" t="e">
        <f>AND(Insects!C40,"AAAAAH7/a7g=")</f>
        <v>#VALUE!</v>
      </c>
      <c r="GD76" t="e">
        <f>AND(Insects!D40,"AAAAAH7/a7k=")</f>
        <v>#VALUE!</v>
      </c>
      <c r="GE76" t="e">
        <f>AND(Insects!E40,"AAAAAH7/a7o=")</f>
        <v>#VALUE!</v>
      </c>
      <c r="GF76" t="e">
        <f>AND(Insects!F40,"AAAAAH7/a7s=")</f>
        <v>#VALUE!</v>
      </c>
      <c r="GG76" t="e">
        <f>AND(Insects!G40,"AAAAAH7/a7w=")</f>
        <v>#VALUE!</v>
      </c>
      <c r="GH76" t="e">
        <f>AND(Insects!H40,"AAAAAH7/a70=")</f>
        <v>#VALUE!</v>
      </c>
      <c r="GI76" t="e">
        <f>AND(Insects!I40,"AAAAAH7/a74=")</f>
        <v>#VALUE!</v>
      </c>
      <c r="GJ76" t="e">
        <f>AND(Insects!J40,"AAAAAH7/a78=")</f>
        <v>#VALUE!</v>
      </c>
      <c r="GK76" t="e">
        <f>AND(Insects!K40,"AAAAAH7/a8A=")</f>
        <v>#VALUE!</v>
      </c>
      <c r="GL76" t="e">
        <f>AND(Insects!L40,"AAAAAH7/a8E=")</f>
        <v>#VALUE!</v>
      </c>
      <c r="GM76" t="e">
        <f>AND(Insects!M40,"AAAAAH7/a8I=")</f>
        <v>#VALUE!</v>
      </c>
      <c r="GN76" t="e">
        <f>AND(Insects!N40,"AAAAAH7/a8M=")</f>
        <v>#VALUE!</v>
      </c>
      <c r="GO76" t="e">
        <f>AND(Insects!O40,"AAAAAH7/a8Q=")</f>
        <v>#VALUE!</v>
      </c>
      <c r="GP76" t="e">
        <f>AND(Insects!P40,"AAAAAH7/a8U=")</f>
        <v>#VALUE!</v>
      </c>
      <c r="GQ76">
        <f>IF(Insects!41:41,"AAAAAH7/a8Y=",0)</f>
        <v>0</v>
      </c>
      <c r="GR76" t="e">
        <f>AND(Insects!A41,"AAAAAH7/a8c=")</f>
        <v>#VALUE!</v>
      </c>
      <c r="GS76" t="e">
        <f>AND(Insects!B41,"AAAAAH7/a8g=")</f>
        <v>#VALUE!</v>
      </c>
      <c r="GT76" t="e">
        <f>AND(Insects!C41,"AAAAAH7/a8k=")</f>
        <v>#VALUE!</v>
      </c>
      <c r="GU76" t="e">
        <f>AND(Insects!D41,"AAAAAH7/a8o=")</f>
        <v>#VALUE!</v>
      </c>
      <c r="GV76" t="e">
        <f>AND(Insects!E41,"AAAAAH7/a8s=")</f>
        <v>#VALUE!</v>
      </c>
      <c r="GW76" t="e">
        <f>AND(Insects!F41,"AAAAAH7/a8w=")</f>
        <v>#VALUE!</v>
      </c>
      <c r="GX76" t="e">
        <f>AND(Insects!G41,"AAAAAH7/a80=")</f>
        <v>#VALUE!</v>
      </c>
      <c r="GY76" t="e">
        <f>AND(Insects!H41,"AAAAAH7/a84=")</f>
        <v>#VALUE!</v>
      </c>
      <c r="GZ76" t="e">
        <f>AND(Insects!I41,"AAAAAH7/a88=")</f>
        <v>#VALUE!</v>
      </c>
      <c r="HA76" t="e">
        <f>AND(Insects!J41,"AAAAAH7/a9A=")</f>
        <v>#VALUE!</v>
      </c>
      <c r="HB76" t="e">
        <f>AND(Insects!K41,"AAAAAH7/a9E=")</f>
        <v>#VALUE!</v>
      </c>
      <c r="HC76" t="e">
        <f>AND(Insects!L41,"AAAAAH7/a9I=")</f>
        <v>#VALUE!</v>
      </c>
      <c r="HD76" t="e">
        <f>AND(Insects!M41,"AAAAAH7/a9M=")</f>
        <v>#VALUE!</v>
      </c>
      <c r="HE76" t="e">
        <f>AND(Insects!N41,"AAAAAH7/a9Q=")</f>
        <v>#VALUE!</v>
      </c>
      <c r="HF76" t="e">
        <f>AND(Insects!O41,"AAAAAH7/a9U=")</f>
        <v>#VALUE!</v>
      </c>
      <c r="HG76" t="e">
        <f>AND(Insects!P41,"AAAAAH7/a9Y=")</f>
        <v>#VALUE!</v>
      </c>
      <c r="HH76">
        <f>IF(Insects!42:42,"AAAAAH7/a9c=",0)</f>
        <v>0</v>
      </c>
      <c r="HI76" t="e">
        <f>AND(Insects!A42,"AAAAAH7/a9g=")</f>
        <v>#VALUE!</v>
      </c>
      <c r="HJ76" t="e">
        <f>AND(Insects!B42,"AAAAAH7/a9k=")</f>
        <v>#VALUE!</v>
      </c>
      <c r="HK76" t="e">
        <f>AND(Insects!C42,"AAAAAH7/a9o=")</f>
        <v>#VALUE!</v>
      </c>
      <c r="HL76" t="e">
        <f>AND(Insects!D42,"AAAAAH7/a9s=")</f>
        <v>#VALUE!</v>
      </c>
      <c r="HM76" t="e">
        <f>AND(Insects!E42,"AAAAAH7/a9w=")</f>
        <v>#VALUE!</v>
      </c>
      <c r="HN76" t="e">
        <f>AND(Insects!F42,"AAAAAH7/a90=")</f>
        <v>#VALUE!</v>
      </c>
      <c r="HO76" t="e">
        <f>AND(Insects!G42,"AAAAAH7/a94=")</f>
        <v>#VALUE!</v>
      </c>
      <c r="HP76" t="e">
        <f>AND(Insects!H42,"AAAAAH7/a98=")</f>
        <v>#VALUE!</v>
      </c>
      <c r="HQ76" t="e">
        <f>AND(Insects!I42,"AAAAAH7/a+A=")</f>
        <v>#VALUE!</v>
      </c>
      <c r="HR76" t="e">
        <f>AND(Insects!J42,"AAAAAH7/a+E=")</f>
        <v>#VALUE!</v>
      </c>
      <c r="HS76" t="e">
        <f>AND(Insects!K42,"AAAAAH7/a+I=")</f>
        <v>#VALUE!</v>
      </c>
      <c r="HT76" t="e">
        <f>AND(Insects!L42,"AAAAAH7/a+M=")</f>
        <v>#VALUE!</v>
      </c>
      <c r="HU76" t="e">
        <f>AND(Insects!M42,"AAAAAH7/a+Q=")</f>
        <v>#VALUE!</v>
      </c>
      <c r="HV76" t="e">
        <f>AND(Insects!N42,"AAAAAH7/a+U=")</f>
        <v>#VALUE!</v>
      </c>
      <c r="HW76" t="e">
        <f>AND(Insects!O42,"AAAAAH7/a+Y=")</f>
        <v>#VALUE!</v>
      </c>
      <c r="HX76" t="e">
        <f>AND(Insects!P42,"AAAAAH7/a+c=")</f>
        <v>#VALUE!</v>
      </c>
      <c r="HY76">
        <f>IF(Insects!43:43,"AAAAAH7/a+g=",0)</f>
        <v>0</v>
      </c>
      <c r="HZ76" t="e">
        <f>AND(Insects!A43,"AAAAAH7/a+k=")</f>
        <v>#VALUE!</v>
      </c>
      <c r="IA76" t="e">
        <f>AND(Insects!B43,"AAAAAH7/a+o=")</f>
        <v>#VALUE!</v>
      </c>
      <c r="IB76" t="e">
        <f>AND(Insects!C43,"AAAAAH7/a+s=")</f>
        <v>#VALUE!</v>
      </c>
      <c r="IC76" t="e">
        <f>AND(Insects!D43,"AAAAAH7/a+w=")</f>
        <v>#VALUE!</v>
      </c>
      <c r="ID76" t="e">
        <f>AND(Insects!E43,"AAAAAH7/a+0=")</f>
        <v>#VALUE!</v>
      </c>
      <c r="IE76" t="e">
        <f>AND(Insects!F43,"AAAAAH7/a+4=")</f>
        <v>#VALUE!</v>
      </c>
      <c r="IF76" t="e">
        <f>AND(Insects!G43,"AAAAAH7/a+8=")</f>
        <v>#VALUE!</v>
      </c>
      <c r="IG76" t="e">
        <f>AND(Insects!H43,"AAAAAH7/a/A=")</f>
        <v>#VALUE!</v>
      </c>
      <c r="IH76" t="e">
        <f>AND(Insects!I43,"AAAAAH7/a/E=")</f>
        <v>#VALUE!</v>
      </c>
      <c r="II76" t="e">
        <f>AND(Insects!J43,"AAAAAH7/a/I=")</f>
        <v>#VALUE!</v>
      </c>
      <c r="IJ76" t="e">
        <f>AND(Insects!K43,"AAAAAH7/a/M=")</f>
        <v>#VALUE!</v>
      </c>
      <c r="IK76" t="e">
        <f>AND(Insects!L43,"AAAAAH7/a/Q=")</f>
        <v>#VALUE!</v>
      </c>
      <c r="IL76" t="e">
        <f>AND(Insects!M43,"AAAAAH7/a/U=")</f>
        <v>#VALUE!</v>
      </c>
      <c r="IM76" t="e">
        <f>AND(Insects!N43,"AAAAAH7/a/Y=")</f>
        <v>#VALUE!</v>
      </c>
      <c r="IN76" t="e">
        <f>AND(Insects!O43,"AAAAAH7/a/c=")</f>
        <v>#VALUE!</v>
      </c>
      <c r="IO76" t="e">
        <f>AND(Insects!P43,"AAAAAH7/a/g=")</f>
        <v>#VALUE!</v>
      </c>
      <c r="IP76">
        <f>IF(Insects!44:44,"AAAAAH7/a/k=",0)</f>
        <v>0</v>
      </c>
      <c r="IQ76" t="e">
        <f>AND(Insects!A44,"AAAAAH7/a/o=")</f>
        <v>#VALUE!</v>
      </c>
      <c r="IR76" t="e">
        <f>AND(Insects!B44,"AAAAAH7/a/s=")</f>
        <v>#VALUE!</v>
      </c>
      <c r="IS76" t="e">
        <f>AND(Insects!C44,"AAAAAH7/a/w=")</f>
        <v>#VALUE!</v>
      </c>
      <c r="IT76" t="e">
        <f>AND(Insects!D44,"AAAAAH7/a/0=")</f>
        <v>#VALUE!</v>
      </c>
      <c r="IU76" t="e">
        <f>AND(Insects!E44,"AAAAAH7/a/4=")</f>
        <v>#VALUE!</v>
      </c>
      <c r="IV76" t="e">
        <f>AND(Insects!F44,"AAAAAH7/a/8=")</f>
        <v>#VALUE!</v>
      </c>
    </row>
    <row r="77" spans="1:256">
      <c r="A77" t="e">
        <f>AND(Insects!G44,"AAAAAFv3LwA=")</f>
        <v>#VALUE!</v>
      </c>
      <c r="B77" t="e">
        <f>AND(Insects!H44,"AAAAAFv3LwE=")</f>
        <v>#VALUE!</v>
      </c>
      <c r="C77" t="e">
        <f>AND(Insects!I44,"AAAAAFv3LwI=")</f>
        <v>#VALUE!</v>
      </c>
      <c r="D77" t="e">
        <f>AND(Insects!J44,"AAAAAFv3LwM=")</f>
        <v>#VALUE!</v>
      </c>
      <c r="E77" t="e">
        <f>AND(Insects!K44,"AAAAAFv3LwQ=")</f>
        <v>#VALUE!</v>
      </c>
      <c r="F77" t="e">
        <f>AND(Insects!L44,"AAAAAFv3LwU=")</f>
        <v>#VALUE!</v>
      </c>
      <c r="G77" t="e">
        <f>AND(Insects!M44,"AAAAAFv3LwY=")</f>
        <v>#VALUE!</v>
      </c>
      <c r="H77" t="e">
        <f>AND(Insects!N44,"AAAAAFv3Lwc=")</f>
        <v>#VALUE!</v>
      </c>
      <c r="I77" t="e">
        <f>AND(Insects!O44,"AAAAAFv3Lwg=")</f>
        <v>#VALUE!</v>
      </c>
      <c r="J77" t="e">
        <f>AND(Insects!P44,"AAAAAFv3Lwk=")</f>
        <v>#VALUE!</v>
      </c>
      <c r="K77">
        <f>IF(Insects!45:45,"AAAAAFv3Lwo=",0)</f>
        <v>0</v>
      </c>
      <c r="L77" t="e">
        <f>AND(Insects!A45,"AAAAAFv3Lws=")</f>
        <v>#VALUE!</v>
      </c>
      <c r="M77" t="e">
        <f>AND(Insects!B45,"AAAAAFv3Lww=")</f>
        <v>#VALUE!</v>
      </c>
      <c r="N77" t="e">
        <f>AND(Insects!C45,"AAAAAFv3Lw0=")</f>
        <v>#VALUE!</v>
      </c>
      <c r="O77" t="e">
        <f>AND(Insects!D45,"AAAAAFv3Lw4=")</f>
        <v>#VALUE!</v>
      </c>
      <c r="P77" t="e">
        <f>AND(Insects!E45,"AAAAAFv3Lw8=")</f>
        <v>#VALUE!</v>
      </c>
      <c r="Q77" t="e">
        <f>AND(Insects!F45,"AAAAAFv3LxA=")</f>
        <v>#VALUE!</v>
      </c>
      <c r="R77" t="e">
        <f>AND(Insects!G45,"AAAAAFv3LxE=")</f>
        <v>#VALUE!</v>
      </c>
      <c r="S77" t="e">
        <f>AND(Insects!H45,"AAAAAFv3LxI=")</f>
        <v>#VALUE!</v>
      </c>
      <c r="T77" t="e">
        <f>AND(Insects!I45,"AAAAAFv3LxM=")</f>
        <v>#VALUE!</v>
      </c>
      <c r="U77" t="e">
        <f>AND(Insects!J45,"AAAAAFv3LxQ=")</f>
        <v>#VALUE!</v>
      </c>
      <c r="V77" t="e">
        <f>AND(Insects!K45,"AAAAAFv3LxU=")</f>
        <v>#VALUE!</v>
      </c>
      <c r="W77" t="e">
        <f>AND(Insects!L45,"AAAAAFv3LxY=")</f>
        <v>#VALUE!</v>
      </c>
      <c r="X77" t="e">
        <f>AND(Insects!M45,"AAAAAFv3Lxc=")</f>
        <v>#VALUE!</v>
      </c>
      <c r="Y77" t="e">
        <f>AND(Insects!N45,"AAAAAFv3Lxg=")</f>
        <v>#VALUE!</v>
      </c>
      <c r="Z77" t="e">
        <f>AND(Insects!O45,"AAAAAFv3Lxk=")</f>
        <v>#VALUE!</v>
      </c>
      <c r="AA77" t="e">
        <f>AND(Insects!P45,"AAAAAFv3Lxo=")</f>
        <v>#VALUE!</v>
      </c>
      <c r="AB77">
        <f>IF(Insects!46:46,"AAAAAFv3Lxs=",0)</f>
        <v>0</v>
      </c>
      <c r="AC77" t="e">
        <f>AND(Insects!A46,"AAAAAFv3Lxw=")</f>
        <v>#VALUE!</v>
      </c>
      <c r="AD77" t="e">
        <f>AND(Insects!B46,"AAAAAFv3Lx0=")</f>
        <v>#VALUE!</v>
      </c>
      <c r="AE77" t="e">
        <f>AND(Insects!C46,"AAAAAFv3Lx4=")</f>
        <v>#VALUE!</v>
      </c>
      <c r="AF77" t="e">
        <f>AND(Insects!D46,"AAAAAFv3Lx8=")</f>
        <v>#VALUE!</v>
      </c>
      <c r="AG77" t="e">
        <f>AND(Insects!E46,"AAAAAFv3LyA=")</f>
        <v>#VALUE!</v>
      </c>
      <c r="AH77" t="e">
        <f>AND(Insects!F46,"AAAAAFv3LyE=")</f>
        <v>#VALUE!</v>
      </c>
      <c r="AI77" t="e">
        <f>AND(Insects!G46,"AAAAAFv3LyI=")</f>
        <v>#VALUE!</v>
      </c>
      <c r="AJ77" t="e">
        <f>AND(Insects!H46,"AAAAAFv3LyM=")</f>
        <v>#VALUE!</v>
      </c>
      <c r="AK77" t="e">
        <f>AND(Insects!I46,"AAAAAFv3LyQ=")</f>
        <v>#VALUE!</v>
      </c>
      <c r="AL77" t="e">
        <f>AND(Insects!J46,"AAAAAFv3LyU=")</f>
        <v>#VALUE!</v>
      </c>
      <c r="AM77" t="e">
        <f>AND(Insects!K46,"AAAAAFv3LyY=")</f>
        <v>#VALUE!</v>
      </c>
      <c r="AN77" t="e">
        <f>AND(Insects!L46,"AAAAAFv3Lyc=")</f>
        <v>#VALUE!</v>
      </c>
      <c r="AO77" t="e">
        <f>AND(Insects!M46,"AAAAAFv3Lyg=")</f>
        <v>#VALUE!</v>
      </c>
      <c r="AP77" t="e">
        <f>AND(Insects!N46,"AAAAAFv3Lyk=")</f>
        <v>#VALUE!</v>
      </c>
      <c r="AQ77" t="e">
        <f>AND(Insects!O46,"AAAAAFv3Lyo=")</f>
        <v>#VALUE!</v>
      </c>
      <c r="AR77" t="e">
        <f>AND(Insects!P46,"AAAAAFv3Lys=")</f>
        <v>#VALUE!</v>
      </c>
      <c r="AS77">
        <f>IF(Insects!47:47,"AAAAAFv3Lyw=",0)</f>
        <v>0</v>
      </c>
      <c r="AT77" t="e">
        <f>AND(Insects!A47,"AAAAAFv3Ly0=")</f>
        <v>#VALUE!</v>
      </c>
      <c r="AU77" t="e">
        <f>AND(Insects!B47,"AAAAAFv3Ly4=")</f>
        <v>#VALUE!</v>
      </c>
      <c r="AV77" t="e">
        <f>AND(Insects!C47,"AAAAAFv3Ly8=")</f>
        <v>#VALUE!</v>
      </c>
      <c r="AW77" t="e">
        <f>AND(Insects!D47,"AAAAAFv3LzA=")</f>
        <v>#VALUE!</v>
      </c>
      <c r="AX77" t="e">
        <f>AND(Insects!E47,"AAAAAFv3LzE=")</f>
        <v>#VALUE!</v>
      </c>
      <c r="AY77" t="e">
        <f>AND(Insects!F47,"AAAAAFv3LzI=")</f>
        <v>#VALUE!</v>
      </c>
      <c r="AZ77" t="e">
        <f>AND(Insects!G47,"AAAAAFv3LzM=")</f>
        <v>#VALUE!</v>
      </c>
      <c r="BA77" t="e">
        <f>AND(Insects!H47,"AAAAAFv3LzQ=")</f>
        <v>#VALUE!</v>
      </c>
      <c r="BB77" t="e">
        <f>AND(Insects!I47,"AAAAAFv3LzU=")</f>
        <v>#VALUE!</v>
      </c>
      <c r="BC77" t="e">
        <f>AND(Insects!J47,"AAAAAFv3LzY=")</f>
        <v>#VALUE!</v>
      </c>
      <c r="BD77" t="e">
        <f>AND(Insects!K47,"AAAAAFv3Lzc=")</f>
        <v>#VALUE!</v>
      </c>
      <c r="BE77" t="e">
        <f>AND(Insects!L47,"AAAAAFv3Lzg=")</f>
        <v>#VALUE!</v>
      </c>
      <c r="BF77" t="e">
        <f>AND(Insects!M47,"AAAAAFv3Lzk=")</f>
        <v>#VALUE!</v>
      </c>
      <c r="BG77" t="e">
        <f>AND(Insects!N47,"AAAAAFv3Lzo=")</f>
        <v>#VALUE!</v>
      </c>
      <c r="BH77" t="e">
        <f>AND(Insects!O47,"AAAAAFv3Lzs=")</f>
        <v>#VALUE!</v>
      </c>
      <c r="BI77" t="e">
        <f>AND(Insects!P47,"AAAAAFv3Lzw=")</f>
        <v>#VALUE!</v>
      </c>
      <c r="BJ77">
        <f>IF(Insects!48:48,"AAAAAFv3Lz0=",0)</f>
        <v>0</v>
      </c>
      <c r="BK77" t="e">
        <f>AND(Insects!A48,"AAAAAFv3Lz4=")</f>
        <v>#VALUE!</v>
      </c>
      <c r="BL77" t="e">
        <f>AND(Insects!B48,"AAAAAFv3Lz8=")</f>
        <v>#VALUE!</v>
      </c>
      <c r="BM77" t="e">
        <f>AND(Insects!C48,"AAAAAFv3L0A=")</f>
        <v>#VALUE!</v>
      </c>
      <c r="BN77" t="e">
        <f>AND(Insects!D48,"AAAAAFv3L0E=")</f>
        <v>#VALUE!</v>
      </c>
      <c r="BO77" t="e">
        <f>AND(Insects!E48,"AAAAAFv3L0I=")</f>
        <v>#VALUE!</v>
      </c>
      <c r="BP77" t="e">
        <f>AND(Insects!F48,"AAAAAFv3L0M=")</f>
        <v>#VALUE!</v>
      </c>
      <c r="BQ77" t="e">
        <f>AND(Insects!G48,"AAAAAFv3L0Q=")</f>
        <v>#VALUE!</v>
      </c>
      <c r="BR77" t="e">
        <f>AND(Insects!H48,"AAAAAFv3L0U=")</f>
        <v>#VALUE!</v>
      </c>
      <c r="BS77" t="e">
        <f>AND(Insects!I48,"AAAAAFv3L0Y=")</f>
        <v>#VALUE!</v>
      </c>
      <c r="BT77" t="e">
        <f>AND(Insects!J48,"AAAAAFv3L0c=")</f>
        <v>#VALUE!</v>
      </c>
      <c r="BU77" t="e">
        <f>AND(Insects!K48,"AAAAAFv3L0g=")</f>
        <v>#VALUE!</v>
      </c>
      <c r="BV77" t="e">
        <f>AND(Insects!L48,"AAAAAFv3L0k=")</f>
        <v>#VALUE!</v>
      </c>
      <c r="BW77" t="e">
        <f>AND(Insects!M48,"AAAAAFv3L0o=")</f>
        <v>#VALUE!</v>
      </c>
      <c r="BX77" t="e">
        <f>AND(Insects!N48,"AAAAAFv3L0s=")</f>
        <v>#VALUE!</v>
      </c>
      <c r="BY77" t="e">
        <f>AND(Insects!O48,"AAAAAFv3L0w=")</f>
        <v>#VALUE!</v>
      </c>
      <c r="BZ77" t="e">
        <f>AND(Insects!P48,"AAAAAFv3L00=")</f>
        <v>#VALUE!</v>
      </c>
      <c r="CA77">
        <f>IF(Insects!49:49,"AAAAAFv3L04=",0)</f>
        <v>0</v>
      </c>
      <c r="CB77" t="e">
        <f>AND(Insects!A49,"AAAAAFv3L08=")</f>
        <v>#VALUE!</v>
      </c>
      <c r="CC77" t="e">
        <f>AND(Insects!B49,"AAAAAFv3L1A=")</f>
        <v>#VALUE!</v>
      </c>
      <c r="CD77" t="e">
        <f>AND(Insects!C49,"AAAAAFv3L1E=")</f>
        <v>#VALUE!</v>
      </c>
      <c r="CE77" t="e">
        <f>AND(Insects!D49,"AAAAAFv3L1I=")</f>
        <v>#VALUE!</v>
      </c>
      <c r="CF77" t="e">
        <f>AND(Insects!E49,"AAAAAFv3L1M=")</f>
        <v>#VALUE!</v>
      </c>
      <c r="CG77" t="e">
        <f>AND(Insects!F49,"AAAAAFv3L1Q=")</f>
        <v>#VALUE!</v>
      </c>
      <c r="CH77" t="e">
        <f>AND(Insects!G49,"AAAAAFv3L1U=")</f>
        <v>#VALUE!</v>
      </c>
      <c r="CI77" t="e">
        <f>AND(Insects!H49,"AAAAAFv3L1Y=")</f>
        <v>#VALUE!</v>
      </c>
      <c r="CJ77" t="e">
        <f>AND(Insects!I49,"AAAAAFv3L1c=")</f>
        <v>#VALUE!</v>
      </c>
      <c r="CK77" t="e">
        <f>AND(Insects!J49,"AAAAAFv3L1g=")</f>
        <v>#VALUE!</v>
      </c>
      <c r="CL77" t="e">
        <f>AND(Insects!K49,"AAAAAFv3L1k=")</f>
        <v>#VALUE!</v>
      </c>
      <c r="CM77" t="e">
        <f>AND(Insects!L49,"AAAAAFv3L1o=")</f>
        <v>#VALUE!</v>
      </c>
      <c r="CN77" t="e">
        <f>AND(Insects!M49,"AAAAAFv3L1s=")</f>
        <v>#VALUE!</v>
      </c>
      <c r="CO77" t="e">
        <f>AND(Insects!N49,"AAAAAFv3L1w=")</f>
        <v>#VALUE!</v>
      </c>
      <c r="CP77" t="e">
        <f>AND(Insects!O49,"AAAAAFv3L10=")</f>
        <v>#VALUE!</v>
      </c>
      <c r="CQ77" t="e">
        <f>AND(Insects!P49,"AAAAAFv3L14=")</f>
        <v>#VALUE!</v>
      </c>
      <c r="CR77">
        <f>IF(Insects!50:50,"AAAAAFv3L18=",0)</f>
        <v>0</v>
      </c>
      <c r="CS77" t="e">
        <f>AND(Insects!A50,"AAAAAFv3L2A=")</f>
        <v>#VALUE!</v>
      </c>
      <c r="CT77" t="e">
        <f>AND(Insects!B50,"AAAAAFv3L2E=")</f>
        <v>#VALUE!</v>
      </c>
      <c r="CU77" t="e">
        <f>AND(Insects!C50,"AAAAAFv3L2I=")</f>
        <v>#VALUE!</v>
      </c>
      <c r="CV77" t="e">
        <f>AND(Insects!D50,"AAAAAFv3L2M=")</f>
        <v>#VALUE!</v>
      </c>
      <c r="CW77" t="e">
        <f>AND(Insects!E50,"AAAAAFv3L2Q=")</f>
        <v>#VALUE!</v>
      </c>
      <c r="CX77" t="e">
        <f>AND(Insects!F50,"AAAAAFv3L2U=")</f>
        <v>#VALUE!</v>
      </c>
      <c r="CY77" t="e">
        <f>AND(Insects!G50,"AAAAAFv3L2Y=")</f>
        <v>#VALUE!</v>
      </c>
      <c r="CZ77" t="e">
        <f>AND(Insects!H50,"AAAAAFv3L2c=")</f>
        <v>#VALUE!</v>
      </c>
      <c r="DA77" t="e">
        <f>AND(Insects!I50,"AAAAAFv3L2g=")</f>
        <v>#VALUE!</v>
      </c>
      <c r="DB77" t="e">
        <f>AND(Insects!J50,"AAAAAFv3L2k=")</f>
        <v>#VALUE!</v>
      </c>
      <c r="DC77" t="e">
        <f>AND(Insects!K50,"AAAAAFv3L2o=")</f>
        <v>#VALUE!</v>
      </c>
      <c r="DD77" t="e">
        <f>AND(Insects!L50,"AAAAAFv3L2s=")</f>
        <v>#VALUE!</v>
      </c>
      <c r="DE77" t="e">
        <f>AND(Insects!M50,"AAAAAFv3L2w=")</f>
        <v>#VALUE!</v>
      </c>
      <c r="DF77" t="e">
        <f>AND(Insects!N50,"AAAAAFv3L20=")</f>
        <v>#VALUE!</v>
      </c>
      <c r="DG77" t="e">
        <f>AND(Insects!O50,"AAAAAFv3L24=")</f>
        <v>#VALUE!</v>
      </c>
      <c r="DH77" t="e">
        <f>AND(Insects!P50,"AAAAAFv3L28=")</f>
        <v>#VALUE!</v>
      </c>
      <c r="DI77">
        <f>IF(Insects!51:51,"AAAAAFv3L3A=",0)</f>
        <v>0</v>
      </c>
      <c r="DJ77" t="e">
        <f>AND(Insects!A51,"AAAAAFv3L3E=")</f>
        <v>#VALUE!</v>
      </c>
      <c r="DK77" t="e">
        <f>AND(Insects!B51,"AAAAAFv3L3I=")</f>
        <v>#VALUE!</v>
      </c>
      <c r="DL77" t="e">
        <f>AND(Insects!C51,"AAAAAFv3L3M=")</f>
        <v>#VALUE!</v>
      </c>
      <c r="DM77" t="e">
        <f>AND(Insects!D51,"AAAAAFv3L3Q=")</f>
        <v>#VALUE!</v>
      </c>
      <c r="DN77" t="e">
        <f>AND(Insects!E51,"AAAAAFv3L3U=")</f>
        <v>#VALUE!</v>
      </c>
      <c r="DO77" t="e">
        <f>AND(Insects!F51,"AAAAAFv3L3Y=")</f>
        <v>#VALUE!</v>
      </c>
      <c r="DP77" t="e">
        <f>AND(Insects!G51,"AAAAAFv3L3c=")</f>
        <v>#VALUE!</v>
      </c>
      <c r="DQ77" t="e">
        <f>AND(Insects!H51,"AAAAAFv3L3g=")</f>
        <v>#VALUE!</v>
      </c>
      <c r="DR77" t="e">
        <f>AND(Insects!I51,"AAAAAFv3L3k=")</f>
        <v>#VALUE!</v>
      </c>
      <c r="DS77" t="e">
        <f>AND(Insects!J51,"AAAAAFv3L3o=")</f>
        <v>#VALUE!</v>
      </c>
      <c r="DT77" t="e">
        <f>AND(Insects!K51,"AAAAAFv3L3s=")</f>
        <v>#VALUE!</v>
      </c>
      <c r="DU77" t="e">
        <f>AND(Insects!L51,"AAAAAFv3L3w=")</f>
        <v>#VALUE!</v>
      </c>
      <c r="DV77" t="e">
        <f>AND(Insects!M51,"AAAAAFv3L30=")</f>
        <v>#VALUE!</v>
      </c>
      <c r="DW77" t="e">
        <f>AND(Insects!N51,"AAAAAFv3L34=")</f>
        <v>#VALUE!</v>
      </c>
      <c r="DX77" t="e">
        <f>AND(Insects!O51,"AAAAAFv3L38=")</f>
        <v>#VALUE!</v>
      </c>
      <c r="DY77" t="e">
        <f>AND(Insects!P51,"AAAAAFv3L4A=")</f>
        <v>#VALUE!</v>
      </c>
      <c r="DZ77">
        <f>IF(Insects!52:52,"AAAAAFv3L4E=",0)</f>
        <v>0</v>
      </c>
      <c r="EA77" t="e">
        <f>AND(Insects!A52,"AAAAAFv3L4I=")</f>
        <v>#VALUE!</v>
      </c>
      <c r="EB77" t="e">
        <f>AND(Insects!B52,"AAAAAFv3L4M=")</f>
        <v>#VALUE!</v>
      </c>
      <c r="EC77" t="e">
        <f>AND(Insects!C52,"AAAAAFv3L4Q=")</f>
        <v>#VALUE!</v>
      </c>
      <c r="ED77" t="e">
        <f>AND(Insects!D52,"AAAAAFv3L4U=")</f>
        <v>#VALUE!</v>
      </c>
      <c r="EE77" t="e">
        <f>AND(Insects!E52,"AAAAAFv3L4Y=")</f>
        <v>#VALUE!</v>
      </c>
      <c r="EF77" t="e">
        <f>AND(Insects!F52,"AAAAAFv3L4c=")</f>
        <v>#VALUE!</v>
      </c>
      <c r="EG77" t="e">
        <f>AND(Insects!G52,"AAAAAFv3L4g=")</f>
        <v>#VALUE!</v>
      </c>
      <c r="EH77" t="e">
        <f>AND(Insects!H52,"AAAAAFv3L4k=")</f>
        <v>#VALUE!</v>
      </c>
      <c r="EI77" t="e">
        <f>AND(Insects!I52,"AAAAAFv3L4o=")</f>
        <v>#VALUE!</v>
      </c>
      <c r="EJ77" t="e">
        <f>AND(Insects!J52,"AAAAAFv3L4s=")</f>
        <v>#VALUE!</v>
      </c>
      <c r="EK77" t="e">
        <f>AND(Insects!K52,"AAAAAFv3L4w=")</f>
        <v>#VALUE!</v>
      </c>
      <c r="EL77" t="e">
        <f>AND(Insects!L52,"AAAAAFv3L40=")</f>
        <v>#VALUE!</v>
      </c>
      <c r="EM77" t="e">
        <f>AND(Insects!M52,"AAAAAFv3L44=")</f>
        <v>#VALUE!</v>
      </c>
      <c r="EN77" t="e">
        <f>AND(Insects!N52,"AAAAAFv3L48=")</f>
        <v>#VALUE!</v>
      </c>
      <c r="EO77" t="e">
        <f>AND(Insects!O52,"AAAAAFv3L5A=")</f>
        <v>#VALUE!</v>
      </c>
      <c r="EP77" t="e">
        <f>AND(Insects!P52,"AAAAAFv3L5E=")</f>
        <v>#VALUE!</v>
      </c>
      <c r="EQ77">
        <f>IF(Insects!53:53,"AAAAAFv3L5I=",0)</f>
        <v>0</v>
      </c>
      <c r="ER77" t="e">
        <f>AND(Insects!A53,"AAAAAFv3L5M=")</f>
        <v>#VALUE!</v>
      </c>
      <c r="ES77" t="e">
        <f>AND(Insects!B53,"AAAAAFv3L5Q=")</f>
        <v>#VALUE!</v>
      </c>
      <c r="ET77" t="e">
        <f>AND(Insects!C53,"AAAAAFv3L5U=")</f>
        <v>#VALUE!</v>
      </c>
      <c r="EU77" t="e">
        <f>AND(Insects!D53,"AAAAAFv3L5Y=")</f>
        <v>#VALUE!</v>
      </c>
      <c r="EV77" t="e">
        <f>AND(Insects!E53,"AAAAAFv3L5c=")</f>
        <v>#VALUE!</v>
      </c>
      <c r="EW77" t="e">
        <f>AND(Insects!F53,"AAAAAFv3L5g=")</f>
        <v>#VALUE!</v>
      </c>
      <c r="EX77" t="e">
        <f>AND(Insects!G53,"AAAAAFv3L5k=")</f>
        <v>#VALUE!</v>
      </c>
      <c r="EY77" t="e">
        <f>AND(Insects!H53,"AAAAAFv3L5o=")</f>
        <v>#VALUE!</v>
      </c>
      <c r="EZ77" t="e">
        <f>AND(Insects!I53,"AAAAAFv3L5s=")</f>
        <v>#VALUE!</v>
      </c>
      <c r="FA77" t="e">
        <f>AND(Insects!J53,"AAAAAFv3L5w=")</f>
        <v>#VALUE!</v>
      </c>
      <c r="FB77" t="e">
        <f>AND(Insects!K53,"AAAAAFv3L50=")</f>
        <v>#VALUE!</v>
      </c>
      <c r="FC77" t="e">
        <f>AND(Insects!L53,"AAAAAFv3L54=")</f>
        <v>#VALUE!</v>
      </c>
      <c r="FD77" t="e">
        <f>AND(Insects!M53,"AAAAAFv3L58=")</f>
        <v>#VALUE!</v>
      </c>
      <c r="FE77" t="e">
        <f>AND(Insects!N53,"AAAAAFv3L6A=")</f>
        <v>#VALUE!</v>
      </c>
      <c r="FF77" t="e">
        <f>AND(Insects!O53,"AAAAAFv3L6E=")</f>
        <v>#VALUE!</v>
      </c>
      <c r="FG77" t="e">
        <f>AND(Insects!P53,"AAAAAFv3L6I=")</f>
        <v>#VALUE!</v>
      </c>
      <c r="FH77">
        <f>IF(Insects!54:54,"AAAAAFv3L6M=",0)</f>
        <v>0</v>
      </c>
      <c r="FI77" t="e">
        <f>AND(Insects!A54,"AAAAAFv3L6Q=")</f>
        <v>#VALUE!</v>
      </c>
      <c r="FJ77" t="e">
        <f>AND(Insects!B54,"AAAAAFv3L6U=")</f>
        <v>#VALUE!</v>
      </c>
      <c r="FK77" t="e">
        <f>AND(Insects!C54,"AAAAAFv3L6Y=")</f>
        <v>#VALUE!</v>
      </c>
      <c r="FL77" t="e">
        <f>AND(Insects!D54,"AAAAAFv3L6c=")</f>
        <v>#VALUE!</v>
      </c>
      <c r="FM77" t="e">
        <f>AND(Insects!E54,"AAAAAFv3L6g=")</f>
        <v>#VALUE!</v>
      </c>
      <c r="FN77" t="e">
        <f>AND(Insects!F54,"AAAAAFv3L6k=")</f>
        <v>#VALUE!</v>
      </c>
      <c r="FO77" t="e">
        <f>AND(Insects!G54,"AAAAAFv3L6o=")</f>
        <v>#VALUE!</v>
      </c>
      <c r="FP77" t="e">
        <f>AND(Insects!H54,"AAAAAFv3L6s=")</f>
        <v>#VALUE!</v>
      </c>
      <c r="FQ77" t="e">
        <f>AND(Insects!I54,"AAAAAFv3L6w=")</f>
        <v>#VALUE!</v>
      </c>
      <c r="FR77" t="e">
        <f>AND(Insects!J54,"AAAAAFv3L60=")</f>
        <v>#VALUE!</v>
      </c>
      <c r="FS77" t="e">
        <f>AND(Insects!K54,"AAAAAFv3L64=")</f>
        <v>#VALUE!</v>
      </c>
      <c r="FT77" t="e">
        <f>AND(Insects!L54,"AAAAAFv3L68=")</f>
        <v>#VALUE!</v>
      </c>
      <c r="FU77" t="e">
        <f>AND(Insects!M54,"AAAAAFv3L7A=")</f>
        <v>#VALUE!</v>
      </c>
      <c r="FV77" t="e">
        <f>AND(Insects!N54,"AAAAAFv3L7E=")</f>
        <v>#VALUE!</v>
      </c>
      <c r="FW77" t="e">
        <f>AND(Insects!O54,"AAAAAFv3L7I=")</f>
        <v>#VALUE!</v>
      </c>
      <c r="FX77" t="e">
        <f>AND(Insects!P54,"AAAAAFv3L7M=")</f>
        <v>#VALUE!</v>
      </c>
      <c r="FY77">
        <f>IF(Insects!55:55,"AAAAAFv3L7Q=",0)</f>
        <v>0</v>
      </c>
      <c r="FZ77" t="e">
        <f>AND(Insects!A55,"AAAAAFv3L7U=")</f>
        <v>#VALUE!</v>
      </c>
      <c r="GA77" t="e">
        <f>AND(Insects!B55,"AAAAAFv3L7Y=")</f>
        <v>#VALUE!</v>
      </c>
      <c r="GB77" t="e">
        <f>AND(Insects!C55,"AAAAAFv3L7c=")</f>
        <v>#VALUE!</v>
      </c>
      <c r="GC77" t="e">
        <f>AND(Insects!D55,"AAAAAFv3L7g=")</f>
        <v>#VALUE!</v>
      </c>
      <c r="GD77" t="e">
        <f>AND(Insects!E55,"AAAAAFv3L7k=")</f>
        <v>#VALUE!</v>
      </c>
      <c r="GE77" t="e">
        <f>AND(Insects!F55,"AAAAAFv3L7o=")</f>
        <v>#VALUE!</v>
      </c>
      <c r="GF77" t="e">
        <f>AND(Insects!G55,"AAAAAFv3L7s=")</f>
        <v>#VALUE!</v>
      </c>
      <c r="GG77" t="e">
        <f>AND(Insects!H55,"AAAAAFv3L7w=")</f>
        <v>#VALUE!</v>
      </c>
      <c r="GH77" t="e">
        <f>AND(Insects!I55,"AAAAAFv3L70=")</f>
        <v>#VALUE!</v>
      </c>
      <c r="GI77" t="e">
        <f>AND(Insects!J55,"AAAAAFv3L74=")</f>
        <v>#VALUE!</v>
      </c>
      <c r="GJ77" t="e">
        <f>AND(Insects!K55,"AAAAAFv3L78=")</f>
        <v>#VALUE!</v>
      </c>
      <c r="GK77" t="e">
        <f>AND(Insects!L55,"AAAAAFv3L8A=")</f>
        <v>#VALUE!</v>
      </c>
      <c r="GL77" t="e">
        <f>AND(Insects!M55,"AAAAAFv3L8E=")</f>
        <v>#VALUE!</v>
      </c>
      <c r="GM77" t="e">
        <f>AND(Insects!N55,"AAAAAFv3L8I=")</f>
        <v>#VALUE!</v>
      </c>
      <c r="GN77" t="e">
        <f>AND(Insects!O55,"AAAAAFv3L8M=")</f>
        <v>#VALUE!</v>
      </c>
      <c r="GO77" t="e">
        <f>AND(Insects!P55,"AAAAAFv3L8Q=")</f>
        <v>#VALUE!</v>
      </c>
      <c r="GP77">
        <f>IF(Insects!56:56,"AAAAAFv3L8U=",0)</f>
        <v>0</v>
      </c>
      <c r="GQ77" t="e">
        <f>AND(Insects!A56,"AAAAAFv3L8Y=")</f>
        <v>#VALUE!</v>
      </c>
      <c r="GR77" t="e">
        <f>AND(Insects!B56,"AAAAAFv3L8c=")</f>
        <v>#VALUE!</v>
      </c>
      <c r="GS77" t="e">
        <f>AND(Insects!C56,"AAAAAFv3L8g=")</f>
        <v>#VALUE!</v>
      </c>
      <c r="GT77" t="e">
        <f>AND(Insects!D56,"AAAAAFv3L8k=")</f>
        <v>#VALUE!</v>
      </c>
      <c r="GU77" t="e">
        <f>AND(Insects!E56,"AAAAAFv3L8o=")</f>
        <v>#VALUE!</v>
      </c>
      <c r="GV77" t="e">
        <f>AND(Insects!F56,"AAAAAFv3L8s=")</f>
        <v>#VALUE!</v>
      </c>
      <c r="GW77" t="e">
        <f>AND(Insects!G56,"AAAAAFv3L8w=")</f>
        <v>#VALUE!</v>
      </c>
      <c r="GX77" t="e">
        <f>AND(Insects!H56,"AAAAAFv3L80=")</f>
        <v>#VALUE!</v>
      </c>
      <c r="GY77" t="e">
        <f>AND(Insects!I56,"AAAAAFv3L84=")</f>
        <v>#VALUE!</v>
      </c>
      <c r="GZ77" t="e">
        <f>AND(Insects!J56,"AAAAAFv3L88=")</f>
        <v>#VALUE!</v>
      </c>
      <c r="HA77" t="e">
        <f>AND(Insects!K56,"AAAAAFv3L9A=")</f>
        <v>#VALUE!</v>
      </c>
      <c r="HB77" t="e">
        <f>AND(Insects!L56,"AAAAAFv3L9E=")</f>
        <v>#VALUE!</v>
      </c>
      <c r="HC77" t="e">
        <f>AND(Insects!M56,"AAAAAFv3L9I=")</f>
        <v>#VALUE!</v>
      </c>
      <c r="HD77" t="e">
        <f>AND(Insects!N56,"AAAAAFv3L9M=")</f>
        <v>#VALUE!</v>
      </c>
      <c r="HE77" t="e">
        <f>AND(Insects!O56,"AAAAAFv3L9Q=")</f>
        <v>#VALUE!</v>
      </c>
      <c r="HF77" t="e">
        <f>AND(Insects!P56,"AAAAAFv3L9U=")</f>
        <v>#VALUE!</v>
      </c>
      <c r="HG77">
        <f>IF(Insects!57:57,"AAAAAFv3L9Y=",0)</f>
        <v>0</v>
      </c>
      <c r="HH77" t="e">
        <f>AND(Insects!A57,"AAAAAFv3L9c=")</f>
        <v>#VALUE!</v>
      </c>
      <c r="HI77" t="e">
        <f>AND(Insects!B57,"AAAAAFv3L9g=")</f>
        <v>#VALUE!</v>
      </c>
      <c r="HJ77" t="e">
        <f>AND(Insects!C57,"AAAAAFv3L9k=")</f>
        <v>#VALUE!</v>
      </c>
      <c r="HK77" t="e">
        <f>AND(Insects!D57,"AAAAAFv3L9o=")</f>
        <v>#VALUE!</v>
      </c>
      <c r="HL77" t="e">
        <f>AND(Insects!E57,"AAAAAFv3L9s=")</f>
        <v>#VALUE!</v>
      </c>
      <c r="HM77" t="e">
        <f>AND(Insects!F57,"AAAAAFv3L9w=")</f>
        <v>#VALUE!</v>
      </c>
      <c r="HN77" t="e">
        <f>AND(Insects!G57,"AAAAAFv3L90=")</f>
        <v>#VALUE!</v>
      </c>
      <c r="HO77" t="e">
        <f>AND(Insects!H57,"AAAAAFv3L94=")</f>
        <v>#VALUE!</v>
      </c>
      <c r="HP77" t="e">
        <f>AND(Insects!I57,"AAAAAFv3L98=")</f>
        <v>#VALUE!</v>
      </c>
      <c r="HQ77" t="e">
        <f>AND(Insects!J57,"AAAAAFv3L+A=")</f>
        <v>#VALUE!</v>
      </c>
      <c r="HR77" t="e">
        <f>AND(Insects!K57,"AAAAAFv3L+E=")</f>
        <v>#VALUE!</v>
      </c>
      <c r="HS77" t="e">
        <f>AND(Insects!L57,"AAAAAFv3L+I=")</f>
        <v>#VALUE!</v>
      </c>
      <c r="HT77" t="e">
        <f>AND(Insects!M57,"AAAAAFv3L+M=")</f>
        <v>#VALUE!</v>
      </c>
      <c r="HU77" t="e">
        <f>AND(Insects!N57,"AAAAAFv3L+Q=")</f>
        <v>#VALUE!</v>
      </c>
      <c r="HV77" t="e">
        <f>AND(Insects!O57,"AAAAAFv3L+U=")</f>
        <v>#VALUE!</v>
      </c>
      <c r="HW77" t="e">
        <f>AND(Insects!P57,"AAAAAFv3L+Y=")</f>
        <v>#VALUE!</v>
      </c>
      <c r="HX77">
        <f>IF(Insects!58:58,"AAAAAFv3L+c=",0)</f>
        <v>0</v>
      </c>
      <c r="HY77" t="e">
        <f>AND(Insects!A58,"AAAAAFv3L+g=")</f>
        <v>#VALUE!</v>
      </c>
      <c r="HZ77" t="e">
        <f>AND(Insects!B58,"AAAAAFv3L+k=")</f>
        <v>#VALUE!</v>
      </c>
      <c r="IA77" t="e">
        <f>AND(Insects!C58,"AAAAAFv3L+o=")</f>
        <v>#VALUE!</v>
      </c>
      <c r="IB77" t="e">
        <f>AND(Insects!D58,"AAAAAFv3L+s=")</f>
        <v>#VALUE!</v>
      </c>
      <c r="IC77" t="e">
        <f>AND(Insects!E58,"AAAAAFv3L+w=")</f>
        <v>#VALUE!</v>
      </c>
      <c r="ID77" t="e">
        <f>AND(Insects!F58,"AAAAAFv3L+0=")</f>
        <v>#VALUE!</v>
      </c>
      <c r="IE77" t="e">
        <f>AND(Insects!G58,"AAAAAFv3L+4=")</f>
        <v>#VALUE!</v>
      </c>
      <c r="IF77" t="e">
        <f>AND(Insects!H58,"AAAAAFv3L+8=")</f>
        <v>#VALUE!</v>
      </c>
      <c r="IG77" t="e">
        <f>AND(Insects!I58,"AAAAAFv3L/A=")</f>
        <v>#VALUE!</v>
      </c>
      <c r="IH77" t="e">
        <f>AND(Insects!J58,"AAAAAFv3L/E=")</f>
        <v>#VALUE!</v>
      </c>
      <c r="II77" t="e">
        <f>AND(Insects!K58,"AAAAAFv3L/I=")</f>
        <v>#VALUE!</v>
      </c>
      <c r="IJ77" t="e">
        <f>AND(Insects!L58,"AAAAAFv3L/M=")</f>
        <v>#VALUE!</v>
      </c>
      <c r="IK77" t="e">
        <f>AND(Insects!M58,"AAAAAFv3L/Q=")</f>
        <v>#VALUE!</v>
      </c>
      <c r="IL77" t="e">
        <f>AND(Insects!N58,"AAAAAFv3L/U=")</f>
        <v>#VALUE!</v>
      </c>
      <c r="IM77" t="e">
        <f>AND(Insects!O58,"AAAAAFv3L/Y=")</f>
        <v>#VALUE!</v>
      </c>
      <c r="IN77" t="e">
        <f>AND(Insects!P58,"AAAAAFv3L/c=")</f>
        <v>#VALUE!</v>
      </c>
      <c r="IO77">
        <f>IF(Insects!59:59,"AAAAAFv3L/g=",0)</f>
        <v>0</v>
      </c>
      <c r="IP77" t="e">
        <f>AND(Insects!A59,"AAAAAFv3L/k=")</f>
        <v>#VALUE!</v>
      </c>
      <c r="IQ77" t="e">
        <f>AND(Insects!B59,"AAAAAFv3L/o=")</f>
        <v>#VALUE!</v>
      </c>
      <c r="IR77" t="e">
        <f>AND(Insects!C59,"AAAAAFv3L/s=")</f>
        <v>#VALUE!</v>
      </c>
      <c r="IS77" t="e">
        <f>AND(Insects!D59,"AAAAAFv3L/w=")</f>
        <v>#VALUE!</v>
      </c>
      <c r="IT77" t="e">
        <f>AND(Insects!E59,"AAAAAFv3L/0=")</f>
        <v>#VALUE!</v>
      </c>
      <c r="IU77" t="e">
        <f>AND(Insects!F59,"AAAAAFv3L/4=")</f>
        <v>#VALUE!</v>
      </c>
      <c r="IV77" t="e">
        <f>AND(Insects!G59,"AAAAAFv3L/8=")</f>
        <v>#VALUE!</v>
      </c>
    </row>
    <row r="78" spans="1:256">
      <c r="A78" t="e">
        <f>AND(Insects!H59,"AAAAACXe0gA=")</f>
        <v>#VALUE!</v>
      </c>
      <c r="B78" t="e">
        <f>AND(Insects!I59,"AAAAACXe0gE=")</f>
        <v>#VALUE!</v>
      </c>
      <c r="C78" t="e">
        <f>AND(Insects!J59,"AAAAACXe0gI=")</f>
        <v>#VALUE!</v>
      </c>
      <c r="D78" t="e">
        <f>AND(Insects!K59,"AAAAACXe0gM=")</f>
        <v>#VALUE!</v>
      </c>
      <c r="E78" t="e">
        <f>AND(Insects!L59,"AAAAACXe0gQ=")</f>
        <v>#VALUE!</v>
      </c>
      <c r="F78" t="e">
        <f>AND(Insects!M59,"AAAAACXe0gU=")</f>
        <v>#VALUE!</v>
      </c>
      <c r="G78" t="e">
        <f>AND(Insects!N59,"AAAAACXe0gY=")</f>
        <v>#VALUE!</v>
      </c>
      <c r="H78" t="e">
        <f>AND(Insects!O59,"AAAAACXe0gc=")</f>
        <v>#VALUE!</v>
      </c>
      <c r="I78" t="e">
        <f>AND(Insects!P59,"AAAAACXe0gg=")</f>
        <v>#VALUE!</v>
      </c>
      <c r="J78" t="str">
        <f>IF(Insects!60:60,"AAAAACXe0gk=",0)</f>
        <v>AAAAACXe0gk=</v>
      </c>
      <c r="K78" t="e">
        <f>AND(Insects!A60,"AAAAACXe0go=")</f>
        <v>#VALUE!</v>
      </c>
      <c r="L78" t="e">
        <f>AND(Insects!B60,"AAAAACXe0gs=")</f>
        <v>#VALUE!</v>
      </c>
      <c r="M78" t="e">
        <f>AND(Insects!C60,"AAAAACXe0gw=")</f>
        <v>#VALUE!</v>
      </c>
      <c r="N78" t="e">
        <f>AND(Insects!D60,"AAAAACXe0g0=")</f>
        <v>#VALUE!</v>
      </c>
      <c r="O78" t="e">
        <f>AND(Insects!E60,"AAAAACXe0g4=")</f>
        <v>#VALUE!</v>
      </c>
      <c r="P78" t="e">
        <f>AND(Insects!F60,"AAAAACXe0g8=")</f>
        <v>#VALUE!</v>
      </c>
      <c r="Q78" t="e">
        <f>AND(Insects!G60,"AAAAACXe0hA=")</f>
        <v>#VALUE!</v>
      </c>
      <c r="R78" t="e">
        <f>AND(Insects!H60,"AAAAACXe0hE=")</f>
        <v>#VALUE!</v>
      </c>
      <c r="S78" t="e">
        <f>AND(Insects!I60,"AAAAACXe0hI=")</f>
        <v>#VALUE!</v>
      </c>
      <c r="T78" t="e">
        <f>AND(Insects!J60,"AAAAACXe0hM=")</f>
        <v>#VALUE!</v>
      </c>
      <c r="U78" t="e">
        <f>AND(Insects!K60,"AAAAACXe0hQ=")</f>
        <v>#VALUE!</v>
      </c>
      <c r="V78" t="e">
        <f>AND(Insects!L60,"AAAAACXe0hU=")</f>
        <v>#VALUE!</v>
      </c>
      <c r="W78" t="e">
        <f>AND(Insects!M60,"AAAAACXe0hY=")</f>
        <v>#VALUE!</v>
      </c>
      <c r="X78" t="e">
        <f>AND(Insects!N60,"AAAAACXe0hc=")</f>
        <v>#VALUE!</v>
      </c>
      <c r="Y78" t="e">
        <f>AND(Insects!O60,"AAAAACXe0hg=")</f>
        <v>#VALUE!</v>
      </c>
      <c r="Z78" t="e">
        <f>AND(Insects!P60,"AAAAACXe0hk=")</f>
        <v>#VALUE!</v>
      </c>
      <c r="AA78">
        <f>IF(Insects!61:61,"AAAAACXe0ho=",0)</f>
        <v>0</v>
      </c>
      <c r="AB78" t="e">
        <f>AND(Insects!A61,"AAAAACXe0hs=")</f>
        <v>#VALUE!</v>
      </c>
      <c r="AC78" t="e">
        <f>AND(Insects!B61,"AAAAACXe0hw=")</f>
        <v>#VALUE!</v>
      </c>
      <c r="AD78" t="e">
        <f>AND(Insects!C61,"AAAAACXe0h0=")</f>
        <v>#VALUE!</v>
      </c>
      <c r="AE78" t="e">
        <f>AND(Insects!D61,"AAAAACXe0h4=")</f>
        <v>#VALUE!</v>
      </c>
      <c r="AF78" t="e">
        <f>AND(Insects!E61,"AAAAACXe0h8=")</f>
        <v>#VALUE!</v>
      </c>
      <c r="AG78" t="e">
        <f>AND(Insects!F61,"AAAAACXe0iA=")</f>
        <v>#VALUE!</v>
      </c>
      <c r="AH78" t="e">
        <f>AND(Insects!G61,"AAAAACXe0iE=")</f>
        <v>#VALUE!</v>
      </c>
      <c r="AI78" t="e">
        <f>AND(Insects!H61,"AAAAACXe0iI=")</f>
        <v>#VALUE!</v>
      </c>
      <c r="AJ78" t="e">
        <f>AND(Insects!I61,"AAAAACXe0iM=")</f>
        <v>#VALUE!</v>
      </c>
      <c r="AK78" t="e">
        <f>AND(Insects!J61,"AAAAACXe0iQ=")</f>
        <v>#VALUE!</v>
      </c>
      <c r="AL78" t="e">
        <f>AND(Insects!K61,"AAAAACXe0iU=")</f>
        <v>#VALUE!</v>
      </c>
      <c r="AM78" t="e">
        <f>AND(Insects!L61,"AAAAACXe0iY=")</f>
        <v>#VALUE!</v>
      </c>
      <c r="AN78" t="e">
        <f>AND(Insects!M61,"AAAAACXe0ic=")</f>
        <v>#VALUE!</v>
      </c>
      <c r="AO78" t="e">
        <f>AND(Insects!N61,"AAAAACXe0ig=")</f>
        <v>#VALUE!</v>
      </c>
      <c r="AP78" t="e">
        <f>AND(Insects!O61,"AAAAACXe0ik=")</f>
        <v>#VALUE!</v>
      </c>
      <c r="AQ78" t="e">
        <f>AND(Insects!P61,"AAAAACXe0io=")</f>
        <v>#VALUE!</v>
      </c>
      <c r="AR78">
        <f>IF(Insects!62:62,"AAAAACXe0is=",0)</f>
        <v>0</v>
      </c>
      <c r="AS78" t="e">
        <f>AND(Insects!A62,"AAAAACXe0iw=")</f>
        <v>#VALUE!</v>
      </c>
      <c r="AT78" t="e">
        <f>AND(Insects!B62,"AAAAACXe0i0=")</f>
        <v>#VALUE!</v>
      </c>
      <c r="AU78" t="e">
        <f>AND(Insects!C62,"AAAAACXe0i4=")</f>
        <v>#VALUE!</v>
      </c>
      <c r="AV78" t="e">
        <f>AND(Insects!D62,"AAAAACXe0i8=")</f>
        <v>#VALUE!</v>
      </c>
      <c r="AW78" t="e">
        <f>AND(Insects!E62,"AAAAACXe0jA=")</f>
        <v>#VALUE!</v>
      </c>
      <c r="AX78" t="e">
        <f>AND(Insects!F62,"AAAAACXe0jE=")</f>
        <v>#VALUE!</v>
      </c>
      <c r="AY78" t="e">
        <f>AND(Insects!G62,"AAAAACXe0jI=")</f>
        <v>#VALUE!</v>
      </c>
      <c r="AZ78" t="e">
        <f>AND(Insects!H62,"AAAAACXe0jM=")</f>
        <v>#VALUE!</v>
      </c>
      <c r="BA78" t="e">
        <f>AND(Insects!I62,"AAAAACXe0jQ=")</f>
        <v>#VALUE!</v>
      </c>
      <c r="BB78" t="e">
        <f>AND(Insects!J62,"AAAAACXe0jU=")</f>
        <v>#VALUE!</v>
      </c>
      <c r="BC78" t="e">
        <f>AND(Insects!K62,"AAAAACXe0jY=")</f>
        <v>#VALUE!</v>
      </c>
      <c r="BD78" t="e">
        <f>AND(Insects!L62,"AAAAACXe0jc=")</f>
        <v>#VALUE!</v>
      </c>
      <c r="BE78" t="e">
        <f>AND(Insects!M62,"AAAAACXe0jg=")</f>
        <v>#VALUE!</v>
      </c>
      <c r="BF78" t="e">
        <f>AND(Insects!N62,"AAAAACXe0jk=")</f>
        <v>#VALUE!</v>
      </c>
      <c r="BG78" t="e">
        <f>AND(Insects!O62,"AAAAACXe0jo=")</f>
        <v>#VALUE!</v>
      </c>
      <c r="BH78" t="e">
        <f>AND(Insects!P62,"AAAAACXe0js=")</f>
        <v>#VALUE!</v>
      </c>
      <c r="BI78">
        <f>IF(Insects!63:63,"AAAAACXe0jw=",0)</f>
        <v>0</v>
      </c>
      <c r="BJ78" t="e">
        <f>AND(Insects!A63,"AAAAACXe0j0=")</f>
        <v>#VALUE!</v>
      </c>
      <c r="BK78" t="e">
        <f>AND(Insects!B63,"AAAAACXe0j4=")</f>
        <v>#VALUE!</v>
      </c>
      <c r="BL78" t="e">
        <f>AND(Insects!C63,"AAAAACXe0j8=")</f>
        <v>#VALUE!</v>
      </c>
      <c r="BM78" t="e">
        <f>AND(Insects!D63,"AAAAACXe0kA=")</f>
        <v>#VALUE!</v>
      </c>
      <c r="BN78" t="e">
        <f>AND(Insects!E63,"AAAAACXe0kE=")</f>
        <v>#VALUE!</v>
      </c>
      <c r="BO78" t="e">
        <f>AND(Insects!F63,"AAAAACXe0kI=")</f>
        <v>#VALUE!</v>
      </c>
      <c r="BP78" t="e">
        <f>AND(Insects!G63,"AAAAACXe0kM=")</f>
        <v>#VALUE!</v>
      </c>
      <c r="BQ78" t="e">
        <f>AND(Insects!H63,"AAAAACXe0kQ=")</f>
        <v>#VALUE!</v>
      </c>
      <c r="BR78" t="e">
        <f>AND(Insects!I63,"AAAAACXe0kU=")</f>
        <v>#VALUE!</v>
      </c>
      <c r="BS78" t="e">
        <f>AND(Insects!J63,"AAAAACXe0kY=")</f>
        <v>#VALUE!</v>
      </c>
      <c r="BT78" t="e">
        <f>AND(Insects!K63,"AAAAACXe0kc=")</f>
        <v>#VALUE!</v>
      </c>
      <c r="BU78" t="e">
        <f>AND(Insects!L63,"AAAAACXe0kg=")</f>
        <v>#VALUE!</v>
      </c>
      <c r="BV78" t="e">
        <f>AND(Insects!M63,"AAAAACXe0kk=")</f>
        <v>#VALUE!</v>
      </c>
      <c r="BW78" t="e">
        <f>AND(Insects!N63,"AAAAACXe0ko=")</f>
        <v>#VALUE!</v>
      </c>
      <c r="BX78" t="e">
        <f>AND(Insects!O63,"AAAAACXe0ks=")</f>
        <v>#VALUE!</v>
      </c>
      <c r="BY78" t="e">
        <f>AND(Insects!P63,"AAAAACXe0kw=")</f>
        <v>#VALUE!</v>
      </c>
      <c r="BZ78">
        <f>IF(Insects!64:64,"AAAAACXe0k0=",0)</f>
        <v>0</v>
      </c>
      <c r="CA78" t="e">
        <f>AND(Insects!A64,"AAAAACXe0k4=")</f>
        <v>#VALUE!</v>
      </c>
      <c r="CB78" t="e">
        <f>AND(Insects!B64,"AAAAACXe0k8=")</f>
        <v>#VALUE!</v>
      </c>
      <c r="CC78" t="e">
        <f>AND(Insects!C64,"AAAAACXe0lA=")</f>
        <v>#VALUE!</v>
      </c>
      <c r="CD78" t="e">
        <f>AND(Insects!D64,"AAAAACXe0lE=")</f>
        <v>#VALUE!</v>
      </c>
      <c r="CE78" t="e">
        <f>AND(Insects!E64,"AAAAACXe0lI=")</f>
        <v>#VALUE!</v>
      </c>
      <c r="CF78" t="e">
        <f>AND(Insects!F64,"AAAAACXe0lM=")</f>
        <v>#VALUE!</v>
      </c>
      <c r="CG78" t="e">
        <f>AND(Insects!G64,"AAAAACXe0lQ=")</f>
        <v>#VALUE!</v>
      </c>
      <c r="CH78" t="e">
        <f>AND(Insects!H64,"AAAAACXe0lU=")</f>
        <v>#VALUE!</v>
      </c>
      <c r="CI78" t="e">
        <f>AND(Insects!I64,"AAAAACXe0lY=")</f>
        <v>#VALUE!</v>
      </c>
      <c r="CJ78" t="e">
        <f>AND(Insects!J64,"AAAAACXe0lc=")</f>
        <v>#VALUE!</v>
      </c>
      <c r="CK78" t="e">
        <f>AND(Insects!K64,"AAAAACXe0lg=")</f>
        <v>#VALUE!</v>
      </c>
      <c r="CL78" t="e">
        <f>AND(Insects!L64,"AAAAACXe0lk=")</f>
        <v>#VALUE!</v>
      </c>
      <c r="CM78" t="e">
        <f>AND(Insects!M64,"AAAAACXe0lo=")</f>
        <v>#VALUE!</v>
      </c>
      <c r="CN78" t="e">
        <f>AND(Insects!N64,"AAAAACXe0ls=")</f>
        <v>#VALUE!</v>
      </c>
      <c r="CO78" t="e">
        <f>AND(Insects!O64,"AAAAACXe0lw=")</f>
        <v>#VALUE!</v>
      </c>
      <c r="CP78" t="e">
        <f>AND(Insects!P64,"AAAAACXe0l0=")</f>
        <v>#VALUE!</v>
      </c>
      <c r="CQ78">
        <f>IF(Insects!65:65,"AAAAACXe0l4=",0)</f>
        <v>0</v>
      </c>
      <c r="CR78" t="e">
        <f>AND(Insects!A65,"AAAAACXe0l8=")</f>
        <v>#VALUE!</v>
      </c>
      <c r="CS78" t="e">
        <f>AND(Insects!B65,"AAAAACXe0mA=")</f>
        <v>#VALUE!</v>
      </c>
      <c r="CT78" t="e">
        <f>AND(Insects!C65,"AAAAACXe0mE=")</f>
        <v>#VALUE!</v>
      </c>
      <c r="CU78" t="e">
        <f>AND(Insects!D65,"AAAAACXe0mI=")</f>
        <v>#VALUE!</v>
      </c>
      <c r="CV78" t="e">
        <f>AND(Insects!E65,"AAAAACXe0mM=")</f>
        <v>#VALUE!</v>
      </c>
      <c r="CW78" t="e">
        <f>AND(Insects!F65,"AAAAACXe0mQ=")</f>
        <v>#VALUE!</v>
      </c>
      <c r="CX78" t="e">
        <f>AND(Insects!G65,"AAAAACXe0mU=")</f>
        <v>#VALUE!</v>
      </c>
      <c r="CY78" t="e">
        <f>AND(Insects!H65,"AAAAACXe0mY=")</f>
        <v>#VALUE!</v>
      </c>
      <c r="CZ78" t="e">
        <f>AND(Insects!I65,"AAAAACXe0mc=")</f>
        <v>#VALUE!</v>
      </c>
      <c r="DA78" t="e">
        <f>AND(Insects!J65,"AAAAACXe0mg=")</f>
        <v>#VALUE!</v>
      </c>
      <c r="DB78" t="e">
        <f>AND(Insects!K65,"AAAAACXe0mk=")</f>
        <v>#VALUE!</v>
      </c>
      <c r="DC78" t="e">
        <f>AND(Insects!L65,"AAAAACXe0mo=")</f>
        <v>#VALUE!</v>
      </c>
      <c r="DD78" t="e">
        <f>AND(Insects!M65,"AAAAACXe0ms=")</f>
        <v>#VALUE!</v>
      </c>
      <c r="DE78" t="e">
        <f>AND(Insects!N65,"AAAAACXe0mw=")</f>
        <v>#VALUE!</v>
      </c>
      <c r="DF78" t="e">
        <f>AND(Insects!O65,"AAAAACXe0m0=")</f>
        <v>#VALUE!</v>
      </c>
      <c r="DG78" t="e">
        <f>AND(Insects!P65,"AAAAACXe0m4=")</f>
        <v>#VALUE!</v>
      </c>
      <c r="DH78">
        <f>IF(Insects!66:66,"AAAAACXe0m8=",0)</f>
        <v>0</v>
      </c>
      <c r="DI78" t="e">
        <f>AND(Insects!A66,"AAAAACXe0nA=")</f>
        <v>#VALUE!</v>
      </c>
      <c r="DJ78" t="e">
        <f>AND(Insects!B66,"AAAAACXe0nE=")</f>
        <v>#VALUE!</v>
      </c>
      <c r="DK78" t="e">
        <f>AND(Insects!C66,"AAAAACXe0nI=")</f>
        <v>#VALUE!</v>
      </c>
      <c r="DL78" t="e">
        <f>AND(Insects!D66,"AAAAACXe0nM=")</f>
        <v>#VALUE!</v>
      </c>
      <c r="DM78" t="e">
        <f>AND(Insects!E66,"AAAAACXe0nQ=")</f>
        <v>#VALUE!</v>
      </c>
      <c r="DN78" t="e">
        <f>AND(Insects!F66,"AAAAACXe0nU=")</f>
        <v>#VALUE!</v>
      </c>
      <c r="DO78" t="e">
        <f>AND(Insects!G66,"AAAAACXe0nY=")</f>
        <v>#VALUE!</v>
      </c>
      <c r="DP78" t="e">
        <f>AND(Insects!H66,"AAAAACXe0nc=")</f>
        <v>#VALUE!</v>
      </c>
      <c r="DQ78" t="e">
        <f>AND(Insects!I66,"AAAAACXe0ng=")</f>
        <v>#VALUE!</v>
      </c>
      <c r="DR78" t="e">
        <f>AND(Insects!J66,"AAAAACXe0nk=")</f>
        <v>#VALUE!</v>
      </c>
      <c r="DS78" t="e">
        <f>AND(Insects!K66,"AAAAACXe0no=")</f>
        <v>#VALUE!</v>
      </c>
      <c r="DT78" t="e">
        <f>AND(Insects!L66,"AAAAACXe0ns=")</f>
        <v>#VALUE!</v>
      </c>
      <c r="DU78" t="e">
        <f>AND(Insects!M66,"AAAAACXe0nw=")</f>
        <v>#VALUE!</v>
      </c>
      <c r="DV78" t="e">
        <f>AND(Insects!N66,"AAAAACXe0n0=")</f>
        <v>#VALUE!</v>
      </c>
      <c r="DW78" t="e">
        <f>AND(Insects!O66,"AAAAACXe0n4=")</f>
        <v>#VALUE!</v>
      </c>
      <c r="DX78" t="e">
        <f>AND(Insects!P66,"AAAAACXe0n8=")</f>
        <v>#VALUE!</v>
      </c>
      <c r="DY78">
        <f>IF(Insects!67:67,"AAAAACXe0oA=",0)</f>
        <v>0</v>
      </c>
      <c r="DZ78" t="e">
        <f>AND(Insects!A67,"AAAAACXe0oE=")</f>
        <v>#VALUE!</v>
      </c>
      <c r="EA78" t="e">
        <f>AND(Insects!B67,"AAAAACXe0oI=")</f>
        <v>#VALUE!</v>
      </c>
      <c r="EB78" t="e">
        <f>AND(Insects!C67,"AAAAACXe0oM=")</f>
        <v>#VALUE!</v>
      </c>
      <c r="EC78" t="e">
        <f>AND(Insects!D67,"AAAAACXe0oQ=")</f>
        <v>#VALUE!</v>
      </c>
      <c r="ED78" t="e">
        <f>AND(Insects!E67,"AAAAACXe0oU=")</f>
        <v>#VALUE!</v>
      </c>
      <c r="EE78" t="e">
        <f>AND(Insects!F67,"AAAAACXe0oY=")</f>
        <v>#VALUE!</v>
      </c>
      <c r="EF78" t="e">
        <f>AND(Insects!G67,"AAAAACXe0oc=")</f>
        <v>#VALUE!</v>
      </c>
      <c r="EG78" t="e">
        <f>AND(Insects!H67,"AAAAACXe0og=")</f>
        <v>#VALUE!</v>
      </c>
      <c r="EH78" t="e">
        <f>AND(Insects!I67,"AAAAACXe0ok=")</f>
        <v>#VALUE!</v>
      </c>
      <c r="EI78" t="e">
        <f>AND(Insects!J67,"AAAAACXe0oo=")</f>
        <v>#VALUE!</v>
      </c>
      <c r="EJ78" t="e">
        <f>AND(Insects!K67,"AAAAACXe0os=")</f>
        <v>#VALUE!</v>
      </c>
      <c r="EK78" t="e">
        <f>AND(Insects!L67,"AAAAACXe0ow=")</f>
        <v>#VALUE!</v>
      </c>
      <c r="EL78" t="e">
        <f>AND(Insects!M67,"AAAAACXe0o0=")</f>
        <v>#VALUE!</v>
      </c>
      <c r="EM78" t="e">
        <f>AND(Insects!N67,"AAAAACXe0o4=")</f>
        <v>#VALUE!</v>
      </c>
      <c r="EN78" t="e">
        <f>AND(Insects!O67,"AAAAACXe0o8=")</f>
        <v>#VALUE!</v>
      </c>
      <c r="EO78" t="e">
        <f>AND(Insects!P67,"AAAAACXe0pA=")</f>
        <v>#VALUE!</v>
      </c>
      <c r="EP78">
        <f>IF(Insects!68:68,"AAAAACXe0pE=",0)</f>
        <v>0</v>
      </c>
      <c r="EQ78" t="e">
        <f>AND(Insects!A68,"AAAAACXe0pI=")</f>
        <v>#VALUE!</v>
      </c>
      <c r="ER78" t="e">
        <f>AND(Insects!B68,"AAAAACXe0pM=")</f>
        <v>#VALUE!</v>
      </c>
      <c r="ES78" t="e">
        <f>AND(Insects!C68,"AAAAACXe0pQ=")</f>
        <v>#VALUE!</v>
      </c>
      <c r="ET78" t="e">
        <f>AND(Insects!D68,"AAAAACXe0pU=")</f>
        <v>#VALUE!</v>
      </c>
      <c r="EU78" t="e">
        <f>AND(Insects!E68,"AAAAACXe0pY=")</f>
        <v>#VALUE!</v>
      </c>
      <c r="EV78" t="e">
        <f>AND(Insects!F68,"AAAAACXe0pc=")</f>
        <v>#VALUE!</v>
      </c>
      <c r="EW78" t="e">
        <f>AND(Insects!G68,"AAAAACXe0pg=")</f>
        <v>#VALUE!</v>
      </c>
      <c r="EX78" t="e">
        <f>AND(Insects!H68,"AAAAACXe0pk=")</f>
        <v>#VALUE!</v>
      </c>
      <c r="EY78" t="e">
        <f>AND(Insects!I68,"AAAAACXe0po=")</f>
        <v>#VALUE!</v>
      </c>
      <c r="EZ78" t="e">
        <f>AND(Insects!J68,"AAAAACXe0ps=")</f>
        <v>#VALUE!</v>
      </c>
      <c r="FA78" t="e">
        <f>AND(Insects!K68,"AAAAACXe0pw=")</f>
        <v>#VALUE!</v>
      </c>
      <c r="FB78" t="e">
        <f>AND(Insects!L68,"AAAAACXe0p0=")</f>
        <v>#VALUE!</v>
      </c>
      <c r="FC78" t="e">
        <f>AND(Insects!M68,"AAAAACXe0p4=")</f>
        <v>#VALUE!</v>
      </c>
      <c r="FD78" t="e">
        <f>AND(Insects!N68,"AAAAACXe0p8=")</f>
        <v>#VALUE!</v>
      </c>
      <c r="FE78" t="e">
        <f>AND(Insects!O68,"AAAAACXe0qA=")</f>
        <v>#VALUE!</v>
      </c>
      <c r="FF78" t="e">
        <f>AND(Insects!P68,"AAAAACXe0qE=")</f>
        <v>#VALUE!</v>
      </c>
      <c r="FG78">
        <f>IF(Insects!69:69,"AAAAACXe0qI=",0)</f>
        <v>0</v>
      </c>
      <c r="FH78" t="e">
        <f>AND(Insects!A69,"AAAAACXe0qM=")</f>
        <v>#VALUE!</v>
      </c>
      <c r="FI78" t="e">
        <f>AND(Insects!B69,"AAAAACXe0qQ=")</f>
        <v>#VALUE!</v>
      </c>
      <c r="FJ78" t="e">
        <f>AND(Insects!C69,"AAAAACXe0qU=")</f>
        <v>#VALUE!</v>
      </c>
      <c r="FK78" t="e">
        <f>AND(Insects!D69,"AAAAACXe0qY=")</f>
        <v>#VALUE!</v>
      </c>
      <c r="FL78" t="e">
        <f>AND(Insects!E69,"AAAAACXe0qc=")</f>
        <v>#VALUE!</v>
      </c>
      <c r="FM78" t="e">
        <f>AND(Insects!F69,"AAAAACXe0qg=")</f>
        <v>#VALUE!</v>
      </c>
      <c r="FN78" t="e">
        <f>AND(Insects!G69,"AAAAACXe0qk=")</f>
        <v>#VALUE!</v>
      </c>
      <c r="FO78" t="e">
        <f>AND(Insects!H69,"AAAAACXe0qo=")</f>
        <v>#VALUE!</v>
      </c>
      <c r="FP78" t="e">
        <f>AND(Insects!I69,"AAAAACXe0qs=")</f>
        <v>#VALUE!</v>
      </c>
      <c r="FQ78" t="e">
        <f>AND(Insects!J69,"AAAAACXe0qw=")</f>
        <v>#VALUE!</v>
      </c>
      <c r="FR78" t="e">
        <f>AND(Insects!K69,"AAAAACXe0q0=")</f>
        <v>#VALUE!</v>
      </c>
      <c r="FS78" t="e">
        <f>AND(Insects!L69,"AAAAACXe0q4=")</f>
        <v>#VALUE!</v>
      </c>
      <c r="FT78" t="e">
        <f>AND(Insects!M69,"AAAAACXe0q8=")</f>
        <v>#VALUE!</v>
      </c>
      <c r="FU78" t="e">
        <f>AND(Insects!N69,"AAAAACXe0rA=")</f>
        <v>#VALUE!</v>
      </c>
      <c r="FV78" t="e">
        <f>AND(Insects!O69,"AAAAACXe0rE=")</f>
        <v>#VALUE!</v>
      </c>
      <c r="FW78" t="e">
        <f>AND(Insects!P69,"AAAAACXe0rI=")</f>
        <v>#VALUE!</v>
      </c>
      <c r="FX78">
        <f>IF(Insects!70:70,"AAAAACXe0rM=",0)</f>
        <v>0</v>
      </c>
      <c r="FY78" t="e">
        <f>AND(Insects!A70,"AAAAACXe0rQ=")</f>
        <v>#VALUE!</v>
      </c>
      <c r="FZ78" t="e">
        <f>AND(Insects!B70,"AAAAACXe0rU=")</f>
        <v>#VALUE!</v>
      </c>
      <c r="GA78" t="e">
        <f>AND(Insects!C70,"AAAAACXe0rY=")</f>
        <v>#VALUE!</v>
      </c>
      <c r="GB78" t="e">
        <f>AND(Insects!D70,"AAAAACXe0rc=")</f>
        <v>#VALUE!</v>
      </c>
      <c r="GC78" t="e">
        <f>AND(Insects!E70,"AAAAACXe0rg=")</f>
        <v>#VALUE!</v>
      </c>
      <c r="GD78" t="e">
        <f>AND(Insects!F70,"AAAAACXe0rk=")</f>
        <v>#VALUE!</v>
      </c>
      <c r="GE78" t="e">
        <f>AND(Insects!G70,"AAAAACXe0ro=")</f>
        <v>#VALUE!</v>
      </c>
      <c r="GF78" t="e">
        <f>AND(Insects!H70,"AAAAACXe0rs=")</f>
        <v>#VALUE!</v>
      </c>
      <c r="GG78" t="e">
        <f>AND(Insects!I70,"AAAAACXe0rw=")</f>
        <v>#VALUE!</v>
      </c>
      <c r="GH78" t="e">
        <f>AND(Insects!J70,"AAAAACXe0r0=")</f>
        <v>#VALUE!</v>
      </c>
      <c r="GI78" t="e">
        <f>AND(Insects!K70,"AAAAACXe0r4=")</f>
        <v>#VALUE!</v>
      </c>
      <c r="GJ78" t="e">
        <f>AND(Insects!L70,"AAAAACXe0r8=")</f>
        <v>#VALUE!</v>
      </c>
      <c r="GK78" t="e">
        <f>AND(Insects!M70,"AAAAACXe0sA=")</f>
        <v>#VALUE!</v>
      </c>
      <c r="GL78" t="e">
        <f>AND(Insects!N70,"AAAAACXe0sE=")</f>
        <v>#VALUE!</v>
      </c>
      <c r="GM78" t="e">
        <f>AND(Insects!O70,"AAAAACXe0sI=")</f>
        <v>#VALUE!</v>
      </c>
      <c r="GN78" t="e">
        <f>AND(Insects!P70,"AAAAACXe0sM=")</f>
        <v>#VALUE!</v>
      </c>
      <c r="GO78">
        <f>IF(Insects!71:71,"AAAAACXe0sQ=",0)</f>
        <v>0</v>
      </c>
      <c r="GP78" t="e">
        <f>AND(Insects!A71,"AAAAACXe0sU=")</f>
        <v>#VALUE!</v>
      </c>
      <c r="GQ78" t="e">
        <f>AND(Insects!B71,"AAAAACXe0sY=")</f>
        <v>#VALUE!</v>
      </c>
      <c r="GR78" t="e">
        <f>AND(Insects!C71,"AAAAACXe0sc=")</f>
        <v>#VALUE!</v>
      </c>
      <c r="GS78" t="e">
        <f>AND(Insects!D71,"AAAAACXe0sg=")</f>
        <v>#VALUE!</v>
      </c>
      <c r="GT78" t="e">
        <f>AND(Insects!E71,"AAAAACXe0sk=")</f>
        <v>#VALUE!</v>
      </c>
      <c r="GU78" t="e">
        <f>AND(Insects!F71,"AAAAACXe0so=")</f>
        <v>#VALUE!</v>
      </c>
      <c r="GV78" t="e">
        <f>AND(Insects!G71,"AAAAACXe0ss=")</f>
        <v>#VALUE!</v>
      </c>
      <c r="GW78" t="e">
        <f>AND(Insects!H71,"AAAAACXe0sw=")</f>
        <v>#VALUE!</v>
      </c>
      <c r="GX78" t="e">
        <f>AND(Insects!I71,"AAAAACXe0s0=")</f>
        <v>#VALUE!</v>
      </c>
      <c r="GY78" t="e">
        <f>AND(Insects!J71,"AAAAACXe0s4=")</f>
        <v>#VALUE!</v>
      </c>
      <c r="GZ78" t="e">
        <f>AND(Insects!K71,"AAAAACXe0s8=")</f>
        <v>#VALUE!</v>
      </c>
      <c r="HA78" t="e">
        <f>AND(Insects!L71,"AAAAACXe0tA=")</f>
        <v>#VALUE!</v>
      </c>
      <c r="HB78" t="e">
        <f>AND(Insects!M71,"AAAAACXe0tE=")</f>
        <v>#VALUE!</v>
      </c>
      <c r="HC78" t="e">
        <f>AND(Insects!N71,"AAAAACXe0tI=")</f>
        <v>#VALUE!</v>
      </c>
      <c r="HD78" t="e">
        <f>AND(Insects!O71,"AAAAACXe0tM=")</f>
        <v>#VALUE!</v>
      </c>
      <c r="HE78" t="e">
        <f>AND(Insects!P71,"AAAAACXe0tQ=")</f>
        <v>#VALUE!</v>
      </c>
      <c r="HF78">
        <f>IF(Insects!72:72,"AAAAACXe0tU=",0)</f>
        <v>0</v>
      </c>
      <c r="HG78" t="e">
        <f>AND(Insects!A72,"AAAAACXe0tY=")</f>
        <v>#VALUE!</v>
      </c>
      <c r="HH78" t="e">
        <f>AND(Insects!B72,"AAAAACXe0tc=")</f>
        <v>#VALUE!</v>
      </c>
      <c r="HI78" t="e">
        <f>AND(Insects!C72,"AAAAACXe0tg=")</f>
        <v>#VALUE!</v>
      </c>
      <c r="HJ78" t="e">
        <f>AND(Insects!D72,"AAAAACXe0tk=")</f>
        <v>#VALUE!</v>
      </c>
      <c r="HK78" t="e">
        <f>AND(Insects!E72,"AAAAACXe0to=")</f>
        <v>#VALUE!</v>
      </c>
      <c r="HL78" t="e">
        <f>AND(Insects!F72,"AAAAACXe0ts=")</f>
        <v>#VALUE!</v>
      </c>
      <c r="HM78" t="e">
        <f>AND(Insects!G72,"AAAAACXe0tw=")</f>
        <v>#VALUE!</v>
      </c>
      <c r="HN78" t="e">
        <f>AND(Insects!H72,"AAAAACXe0t0=")</f>
        <v>#VALUE!</v>
      </c>
      <c r="HO78" t="e">
        <f>AND(Insects!I72,"AAAAACXe0t4=")</f>
        <v>#VALUE!</v>
      </c>
      <c r="HP78" t="e">
        <f>AND(Insects!J72,"AAAAACXe0t8=")</f>
        <v>#VALUE!</v>
      </c>
      <c r="HQ78" t="e">
        <f>AND(Insects!K72,"AAAAACXe0uA=")</f>
        <v>#VALUE!</v>
      </c>
      <c r="HR78" t="e">
        <f>AND(Insects!L72,"AAAAACXe0uE=")</f>
        <v>#VALUE!</v>
      </c>
      <c r="HS78" t="e">
        <f>AND(Insects!M72,"AAAAACXe0uI=")</f>
        <v>#VALUE!</v>
      </c>
      <c r="HT78" t="e">
        <f>AND(Insects!N72,"AAAAACXe0uM=")</f>
        <v>#VALUE!</v>
      </c>
      <c r="HU78" t="e">
        <f>AND(Insects!O72,"AAAAACXe0uQ=")</f>
        <v>#VALUE!</v>
      </c>
      <c r="HV78" t="e">
        <f>AND(Insects!P72,"AAAAACXe0uU=")</f>
        <v>#VALUE!</v>
      </c>
      <c r="HW78">
        <f>IF(Insects!73:73,"AAAAACXe0uY=",0)</f>
        <v>0</v>
      </c>
      <c r="HX78" t="e">
        <f>AND(Insects!A73,"AAAAACXe0uc=")</f>
        <v>#VALUE!</v>
      </c>
      <c r="HY78" t="e">
        <f>AND(Insects!B73,"AAAAACXe0ug=")</f>
        <v>#VALUE!</v>
      </c>
      <c r="HZ78" t="e">
        <f>AND(Insects!C73,"AAAAACXe0uk=")</f>
        <v>#VALUE!</v>
      </c>
      <c r="IA78" t="e">
        <f>AND(Insects!D73,"AAAAACXe0uo=")</f>
        <v>#VALUE!</v>
      </c>
      <c r="IB78" t="e">
        <f>AND(Insects!E73,"AAAAACXe0us=")</f>
        <v>#VALUE!</v>
      </c>
      <c r="IC78" t="e">
        <f>AND(Insects!F73,"AAAAACXe0uw=")</f>
        <v>#VALUE!</v>
      </c>
      <c r="ID78" t="e">
        <f>AND(Insects!G73,"AAAAACXe0u0=")</f>
        <v>#VALUE!</v>
      </c>
      <c r="IE78" t="e">
        <f>AND(Insects!H73,"AAAAACXe0u4=")</f>
        <v>#VALUE!</v>
      </c>
      <c r="IF78" t="e">
        <f>AND(Insects!I73,"AAAAACXe0u8=")</f>
        <v>#VALUE!</v>
      </c>
      <c r="IG78" t="e">
        <f>AND(Insects!J73,"AAAAACXe0vA=")</f>
        <v>#VALUE!</v>
      </c>
      <c r="IH78" t="e">
        <f>AND(Insects!K73,"AAAAACXe0vE=")</f>
        <v>#VALUE!</v>
      </c>
      <c r="II78" t="e">
        <f>AND(Insects!L73,"AAAAACXe0vI=")</f>
        <v>#VALUE!</v>
      </c>
      <c r="IJ78" t="e">
        <f>AND(Insects!M73,"AAAAACXe0vM=")</f>
        <v>#VALUE!</v>
      </c>
      <c r="IK78" t="e">
        <f>AND(Insects!N73,"AAAAACXe0vQ=")</f>
        <v>#VALUE!</v>
      </c>
      <c r="IL78" t="e">
        <f>AND(Insects!O73,"AAAAACXe0vU=")</f>
        <v>#VALUE!</v>
      </c>
      <c r="IM78" t="e">
        <f>AND(Insects!P73,"AAAAACXe0vY=")</f>
        <v>#VALUE!</v>
      </c>
      <c r="IN78">
        <f>IF(Insects!74:74,"AAAAACXe0vc=",0)</f>
        <v>0</v>
      </c>
      <c r="IO78" t="e">
        <f>AND(Insects!A74,"AAAAACXe0vg=")</f>
        <v>#VALUE!</v>
      </c>
      <c r="IP78" t="e">
        <f>AND(Insects!B74,"AAAAACXe0vk=")</f>
        <v>#VALUE!</v>
      </c>
      <c r="IQ78" t="e">
        <f>AND(Insects!C74,"AAAAACXe0vo=")</f>
        <v>#VALUE!</v>
      </c>
      <c r="IR78" t="e">
        <f>AND(Insects!D74,"AAAAACXe0vs=")</f>
        <v>#VALUE!</v>
      </c>
      <c r="IS78" t="e">
        <f>AND(Insects!E74,"AAAAACXe0vw=")</f>
        <v>#VALUE!</v>
      </c>
      <c r="IT78" t="e">
        <f>AND(Insects!F74,"AAAAACXe0v0=")</f>
        <v>#VALUE!</v>
      </c>
      <c r="IU78" t="e">
        <f>AND(Insects!G74,"AAAAACXe0v4=")</f>
        <v>#VALUE!</v>
      </c>
      <c r="IV78" t="e">
        <f>AND(Insects!H74,"AAAAACXe0v8=")</f>
        <v>#VALUE!</v>
      </c>
    </row>
    <row r="79" spans="1:256">
      <c r="A79" t="e">
        <f>AND(Insects!I74,"AAAAAFPuiwA=")</f>
        <v>#VALUE!</v>
      </c>
      <c r="B79" t="e">
        <f>AND(Insects!J74,"AAAAAFPuiwE=")</f>
        <v>#VALUE!</v>
      </c>
      <c r="C79" t="e">
        <f>AND(Insects!K74,"AAAAAFPuiwI=")</f>
        <v>#VALUE!</v>
      </c>
      <c r="D79" t="e">
        <f>AND(Insects!L74,"AAAAAFPuiwM=")</f>
        <v>#VALUE!</v>
      </c>
      <c r="E79" t="e">
        <f>AND(Insects!M74,"AAAAAFPuiwQ=")</f>
        <v>#VALUE!</v>
      </c>
      <c r="F79" t="e">
        <f>AND(Insects!N74,"AAAAAFPuiwU=")</f>
        <v>#VALUE!</v>
      </c>
      <c r="G79" t="e">
        <f>AND(Insects!O74,"AAAAAFPuiwY=")</f>
        <v>#VALUE!</v>
      </c>
      <c r="H79" t="e">
        <f>AND(Insects!P74,"AAAAAFPuiwc=")</f>
        <v>#VALUE!</v>
      </c>
      <c r="I79">
        <f>IF(Insects!75:75,"AAAAAFPuiwg=",0)</f>
        <v>0</v>
      </c>
      <c r="J79" t="e">
        <f>AND(Insects!A75,"AAAAAFPuiwk=")</f>
        <v>#VALUE!</v>
      </c>
      <c r="K79" t="e">
        <f>AND(Insects!B75,"AAAAAFPuiwo=")</f>
        <v>#VALUE!</v>
      </c>
      <c r="L79" t="e">
        <f>AND(Insects!C75,"AAAAAFPuiws=")</f>
        <v>#VALUE!</v>
      </c>
      <c r="M79" t="e">
        <f>AND(Insects!D75,"AAAAAFPuiww=")</f>
        <v>#VALUE!</v>
      </c>
      <c r="N79" t="e">
        <f>AND(Insects!E75,"AAAAAFPuiw0=")</f>
        <v>#VALUE!</v>
      </c>
      <c r="O79" t="e">
        <f>AND(Insects!F75,"AAAAAFPuiw4=")</f>
        <v>#VALUE!</v>
      </c>
      <c r="P79" t="e">
        <f>AND(Insects!G75,"AAAAAFPuiw8=")</f>
        <v>#VALUE!</v>
      </c>
      <c r="Q79" t="e">
        <f>AND(Insects!H75,"AAAAAFPuixA=")</f>
        <v>#VALUE!</v>
      </c>
      <c r="R79" t="e">
        <f>AND(Insects!I75,"AAAAAFPuixE=")</f>
        <v>#VALUE!</v>
      </c>
      <c r="S79" t="e">
        <f>AND(Insects!J75,"AAAAAFPuixI=")</f>
        <v>#VALUE!</v>
      </c>
      <c r="T79" t="e">
        <f>AND(Insects!K75,"AAAAAFPuixM=")</f>
        <v>#VALUE!</v>
      </c>
      <c r="U79" t="e">
        <f>AND(Insects!L75,"AAAAAFPuixQ=")</f>
        <v>#VALUE!</v>
      </c>
      <c r="V79" t="e">
        <f>AND(Insects!M75,"AAAAAFPuixU=")</f>
        <v>#VALUE!</v>
      </c>
      <c r="W79" t="e">
        <f>AND(Insects!N75,"AAAAAFPuixY=")</f>
        <v>#VALUE!</v>
      </c>
      <c r="X79" t="e">
        <f>AND(Insects!O75,"AAAAAFPuixc=")</f>
        <v>#VALUE!</v>
      </c>
      <c r="Y79" t="e">
        <f>AND(Insects!P75,"AAAAAFPuixg=")</f>
        <v>#VALUE!</v>
      </c>
      <c r="Z79">
        <f>IF(Insects!76:76,"AAAAAFPuixk=",0)</f>
        <v>0</v>
      </c>
      <c r="AA79" t="e">
        <f>AND(Insects!A76,"AAAAAFPuixo=")</f>
        <v>#VALUE!</v>
      </c>
      <c r="AB79" t="e">
        <f>AND(Insects!B76,"AAAAAFPuixs=")</f>
        <v>#VALUE!</v>
      </c>
      <c r="AC79" t="e">
        <f>AND(Insects!C76,"AAAAAFPuixw=")</f>
        <v>#VALUE!</v>
      </c>
      <c r="AD79" t="e">
        <f>AND(Insects!D76,"AAAAAFPuix0=")</f>
        <v>#VALUE!</v>
      </c>
      <c r="AE79" t="e">
        <f>AND(Insects!E76,"AAAAAFPuix4=")</f>
        <v>#VALUE!</v>
      </c>
      <c r="AF79" t="e">
        <f>AND(Insects!F76,"AAAAAFPuix8=")</f>
        <v>#VALUE!</v>
      </c>
      <c r="AG79" t="e">
        <f>AND(Insects!G76,"AAAAAFPuiyA=")</f>
        <v>#VALUE!</v>
      </c>
      <c r="AH79" t="e">
        <f>AND(Insects!H76,"AAAAAFPuiyE=")</f>
        <v>#VALUE!</v>
      </c>
      <c r="AI79" t="e">
        <f>AND(Insects!I76,"AAAAAFPuiyI=")</f>
        <v>#VALUE!</v>
      </c>
      <c r="AJ79" t="e">
        <f>AND(Insects!J76,"AAAAAFPuiyM=")</f>
        <v>#VALUE!</v>
      </c>
      <c r="AK79" t="e">
        <f>AND(Insects!K76,"AAAAAFPuiyQ=")</f>
        <v>#VALUE!</v>
      </c>
      <c r="AL79" t="e">
        <f>AND(Insects!L76,"AAAAAFPuiyU=")</f>
        <v>#VALUE!</v>
      </c>
      <c r="AM79" t="e">
        <f>AND(Insects!M76,"AAAAAFPuiyY=")</f>
        <v>#VALUE!</v>
      </c>
      <c r="AN79" t="e">
        <f>AND(Insects!N76,"AAAAAFPuiyc=")</f>
        <v>#VALUE!</v>
      </c>
      <c r="AO79" t="e">
        <f>AND(Insects!O76,"AAAAAFPuiyg=")</f>
        <v>#VALUE!</v>
      </c>
      <c r="AP79" t="e">
        <f>AND(Insects!P76,"AAAAAFPuiyk=")</f>
        <v>#VALUE!</v>
      </c>
      <c r="AQ79">
        <f>IF(Insects!77:77,"AAAAAFPuiyo=",0)</f>
        <v>0</v>
      </c>
      <c r="AR79" t="e">
        <f>AND(Insects!A77,"AAAAAFPuiys=")</f>
        <v>#VALUE!</v>
      </c>
      <c r="AS79" t="e">
        <f>AND(Insects!B77,"AAAAAFPuiyw=")</f>
        <v>#VALUE!</v>
      </c>
      <c r="AT79" t="e">
        <f>AND(Insects!C77,"AAAAAFPuiy0=")</f>
        <v>#VALUE!</v>
      </c>
      <c r="AU79" t="e">
        <f>AND(Insects!D77,"AAAAAFPuiy4=")</f>
        <v>#VALUE!</v>
      </c>
      <c r="AV79" t="e">
        <f>AND(Insects!E77,"AAAAAFPuiy8=")</f>
        <v>#VALUE!</v>
      </c>
      <c r="AW79" t="e">
        <f>AND(Insects!F77,"AAAAAFPuizA=")</f>
        <v>#VALUE!</v>
      </c>
      <c r="AX79" t="e">
        <f>AND(Insects!G77,"AAAAAFPuizE=")</f>
        <v>#VALUE!</v>
      </c>
      <c r="AY79" t="e">
        <f>AND(Insects!H77,"AAAAAFPuizI=")</f>
        <v>#VALUE!</v>
      </c>
      <c r="AZ79" t="e">
        <f>AND(Insects!I77,"AAAAAFPuizM=")</f>
        <v>#VALUE!</v>
      </c>
      <c r="BA79" t="e">
        <f>AND(Insects!J77,"AAAAAFPuizQ=")</f>
        <v>#VALUE!</v>
      </c>
      <c r="BB79" t="e">
        <f>AND(Insects!K77,"AAAAAFPuizU=")</f>
        <v>#VALUE!</v>
      </c>
      <c r="BC79" t="e">
        <f>AND(Insects!L77,"AAAAAFPuizY=")</f>
        <v>#VALUE!</v>
      </c>
      <c r="BD79" t="e">
        <f>AND(Insects!M77,"AAAAAFPuizc=")</f>
        <v>#VALUE!</v>
      </c>
      <c r="BE79" t="e">
        <f>AND(Insects!N77,"AAAAAFPuizg=")</f>
        <v>#VALUE!</v>
      </c>
      <c r="BF79" t="e">
        <f>AND(Insects!O77,"AAAAAFPuizk=")</f>
        <v>#VALUE!</v>
      </c>
      <c r="BG79" t="e">
        <f>AND(Insects!P77,"AAAAAFPuizo=")</f>
        <v>#VALUE!</v>
      </c>
      <c r="BH79">
        <f>IF(Insects!78:78,"AAAAAFPuizs=",0)</f>
        <v>0</v>
      </c>
      <c r="BI79" t="e">
        <f>AND(Insects!A78,"AAAAAFPuizw=")</f>
        <v>#VALUE!</v>
      </c>
      <c r="BJ79" t="e">
        <f>AND(Insects!B78,"AAAAAFPuiz0=")</f>
        <v>#VALUE!</v>
      </c>
      <c r="BK79" t="e">
        <f>AND(Insects!C78,"AAAAAFPuiz4=")</f>
        <v>#VALUE!</v>
      </c>
      <c r="BL79" t="e">
        <f>AND(Insects!D78,"AAAAAFPuiz8=")</f>
        <v>#VALUE!</v>
      </c>
      <c r="BM79" t="e">
        <f>AND(Insects!E78,"AAAAAFPui0A=")</f>
        <v>#VALUE!</v>
      </c>
      <c r="BN79" t="e">
        <f>AND(Insects!F78,"AAAAAFPui0E=")</f>
        <v>#VALUE!</v>
      </c>
      <c r="BO79" t="e">
        <f>AND(Insects!G78,"AAAAAFPui0I=")</f>
        <v>#VALUE!</v>
      </c>
      <c r="BP79" t="e">
        <f>AND(Insects!H78,"AAAAAFPui0M=")</f>
        <v>#VALUE!</v>
      </c>
      <c r="BQ79" t="e">
        <f>AND(Insects!I78,"AAAAAFPui0Q=")</f>
        <v>#VALUE!</v>
      </c>
      <c r="BR79" t="e">
        <f>AND(Insects!J78,"AAAAAFPui0U=")</f>
        <v>#VALUE!</v>
      </c>
      <c r="BS79" t="e">
        <f>AND(Insects!K78,"AAAAAFPui0Y=")</f>
        <v>#VALUE!</v>
      </c>
      <c r="BT79" t="e">
        <f>AND(Insects!L78,"AAAAAFPui0c=")</f>
        <v>#VALUE!</v>
      </c>
      <c r="BU79" t="e">
        <f>AND(Insects!M78,"AAAAAFPui0g=")</f>
        <v>#VALUE!</v>
      </c>
      <c r="BV79" t="e">
        <f>AND(Insects!N78,"AAAAAFPui0k=")</f>
        <v>#VALUE!</v>
      </c>
      <c r="BW79" t="e">
        <f>AND(Insects!O78,"AAAAAFPui0o=")</f>
        <v>#VALUE!</v>
      </c>
      <c r="BX79" t="e">
        <f>AND(Insects!P78,"AAAAAFPui0s=")</f>
        <v>#VALUE!</v>
      </c>
      <c r="BY79">
        <f>IF(Insects!79:79,"AAAAAFPui0w=",0)</f>
        <v>0</v>
      </c>
      <c r="BZ79" t="e">
        <f>AND(Insects!A79,"AAAAAFPui00=")</f>
        <v>#VALUE!</v>
      </c>
      <c r="CA79" t="e">
        <f>AND(Insects!B79,"AAAAAFPui04=")</f>
        <v>#VALUE!</v>
      </c>
      <c r="CB79" t="e">
        <f>AND(Insects!C79,"AAAAAFPui08=")</f>
        <v>#VALUE!</v>
      </c>
      <c r="CC79" t="e">
        <f>AND(Insects!D79,"AAAAAFPui1A=")</f>
        <v>#VALUE!</v>
      </c>
      <c r="CD79" t="e">
        <f>AND(Insects!E79,"AAAAAFPui1E=")</f>
        <v>#VALUE!</v>
      </c>
      <c r="CE79" t="e">
        <f>AND(Insects!F79,"AAAAAFPui1I=")</f>
        <v>#VALUE!</v>
      </c>
      <c r="CF79" t="e">
        <f>AND(Insects!G79,"AAAAAFPui1M=")</f>
        <v>#VALUE!</v>
      </c>
      <c r="CG79" t="e">
        <f>AND(Insects!H79,"AAAAAFPui1Q=")</f>
        <v>#VALUE!</v>
      </c>
      <c r="CH79" t="e">
        <f>AND(Insects!I79,"AAAAAFPui1U=")</f>
        <v>#VALUE!</v>
      </c>
      <c r="CI79" t="e">
        <f>AND(Insects!J79,"AAAAAFPui1Y=")</f>
        <v>#VALUE!</v>
      </c>
      <c r="CJ79" t="e">
        <f>AND(Insects!K79,"AAAAAFPui1c=")</f>
        <v>#VALUE!</v>
      </c>
      <c r="CK79" t="e">
        <f>AND(Insects!L79,"AAAAAFPui1g=")</f>
        <v>#VALUE!</v>
      </c>
      <c r="CL79" t="e">
        <f>AND(Insects!M79,"AAAAAFPui1k=")</f>
        <v>#VALUE!</v>
      </c>
      <c r="CM79" t="e">
        <f>AND(Insects!N79,"AAAAAFPui1o=")</f>
        <v>#VALUE!</v>
      </c>
      <c r="CN79" t="e">
        <f>AND(Insects!O79,"AAAAAFPui1s=")</f>
        <v>#VALUE!</v>
      </c>
      <c r="CO79" t="e">
        <f>AND(Insects!P79,"AAAAAFPui1w=")</f>
        <v>#VALUE!</v>
      </c>
      <c r="CP79">
        <f>IF(Insects!80:80,"AAAAAFPui10=",0)</f>
        <v>0</v>
      </c>
      <c r="CQ79" t="e">
        <f>AND(Insects!A80,"AAAAAFPui14=")</f>
        <v>#VALUE!</v>
      </c>
      <c r="CR79" t="e">
        <f>AND(Insects!B80,"AAAAAFPui18=")</f>
        <v>#VALUE!</v>
      </c>
      <c r="CS79" t="e">
        <f>AND(Insects!C80,"AAAAAFPui2A=")</f>
        <v>#VALUE!</v>
      </c>
      <c r="CT79" t="e">
        <f>AND(Insects!D80,"AAAAAFPui2E=")</f>
        <v>#VALUE!</v>
      </c>
      <c r="CU79" t="e">
        <f>AND(Insects!E80,"AAAAAFPui2I=")</f>
        <v>#VALUE!</v>
      </c>
      <c r="CV79" t="e">
        <f>AND(Insects!F80,"AAAAAFPui2M=")</f>
        <v>#VALUE!</v>
      </c>
      <c r="CW79" t="e">
        <f>AND(Insects!G80,"AAAAAFPui2Q=")</f>
        <v>#VALUE!</v>
      </c>
      <c r="CX79" t="e">
        <f>AND(Insects!H80,"AAAAAFPui2U=")</f>
        <v>#VALUE!</v>
      </c>
      <c r="CY79" t="e">
        <f>AND(Insects!I80,"AAAAAFPui2Y=")</f>
        <v>#VALUE!</v>
      </c>
      <c r="CZ79" t="e">
        <f>AND(Insects!J80,"AAAAAFPui2c=")</f>
        <v>#VALUE!</v>
      </c>
      <c r="DA79" t="e">
        <f>AND(Insects!K80,"AAAAAFPui2g=")</f>
        <v>#VALUE!</v>
      </c>
      <c r="DB79" t="e">
        <f>AND(Insects!L80,"AAAAAFPui2k=")</f>
        <v>#VALUE!</v>
      </c>
      <c r="DC79" t="e">
        <f>AND(Insects!M80,"AAAAAFPui2o=")</f>
        <v>#VALUE!</v>
      </c>
      <c r="DD79" t="e">
        <f>AND(Insects!N80,"AAAAAFPui2s=")</f>
        <v>#VALUE!</v>
      </c>
      <c r="DE79" t="e">
        <f>AND(Insects!O80,"AAAAAFPui2w=")</f>
        <v>#VALUE!</v>
      </c>
      <c r="DF79" t="e">
        <f>AND(Insects!P80,"AAAAAFPui20=")</f>
        <v>#VALUE!</v>
      </c>
      <c r="DG79">
        <f>IF(Insects!81:81,"AAAAAFPui24=",0)</f>
        <v>0</v>
      </c>
      <c r="DH79" t="e">
        <f>AND(Insects!A81,"AAAAAFPui28=")</f>
        <v>#VALUE!</v>
      </c>
      <c r="DI79" t="e">
        <f>AND(Insects!B81,"AAAAAFPui3A=")</f>
        <v>#VALUE!</v>
      </c>
      <c r="DJ79" t="e">
        <f>AND(Insects!C81,"AAAAAFPui3E=")</f>
        <v>#VALUE!</v>
      </c>
      <c r="DK79" t="e">
        <f>AND(Insects!D81,"AAAAAFPui3I=")</f>
        <v>#VALUE!</v>
      </c>
      <c r="DL79" t="e">
        <f>AND(Insects!E81,"AAAAAFPui3M=")</f>
        <v>#VALUE!</v>
      </c>
      <c r="DM79" t="e">
        <f>AND(Insects!F81,"AAAAAFPui3Q=")</f>
        <v>#VALUE!</v>
      </c>
      <c r="DN79" t="e">
        <f>AND(Insects!G81,"AAAAAFPui3U=")</f>
        <v>#VALUE!</v>
      </c>
      <c r="DO79" t="e">
        <f>AND(Insects!H81,"AAAAAFPui3Y=")</f>
        <v>#VALUE!</v>
      </c>
      <c r="DP79" t="e">
        <f>AND(Insects!I81,"AAAAAFPui3c=")</f>
        <v>#VALUE!</v>
      </c>
      <c r="DQ79" t="e">
        <f>AND(Insects!J81,"AAAAAFPui3g=")</f>
        <v>#VALUE!</v>
      </c>
      <c r="DR79" t="e">
        <f>AND(Insects!K81,"AAAAAFPui3k=")</f>
        <v>#VALUE!</v>
      </c>
      <c r="DS79" t="e">
        <f>AND(Insects!L81,"AAAAAFPui3o=")</f>
        <v>#VALUE!</v>
      </c>
      <c r="DT79" t="e">
        <f>AND(Insects!M81,"AAAAAFPui3s=")</f>
        <v>#VALUE!</v>
      </c>
      <c r="DU79" t="e">
        <f>AND(Insects!N81,"AAAAAFPui3w=")</f>
        <v>#VALUE!</v>
      </c>
      <c r="DV79" t="e">
        <f>AND(Insects!O81,"AAAAAFPui30=")</f>
        <v>#VALUE!</v>
      </c>
      <c r="DW79" t="e">
        <f>AND(Insects!P81,"AAAAAFPui34=")</f>
        <v>#VALUE!</v>
      </c>
      <c r="DX79">
        <f>IF(Insects!82:82,"AAAAAFPui38=",0)</f>
        <v>0</v>
      </c>
      <c r="DY79" t="e">
        <f>AND(Insects!A82,"AAAAAFPui4A=")</f>
        <v>#VALUE!</v>
      </c>
      <c r="DZ79" t="e">
        <f>AND(Insects!B82,"AAAAAFPui4E=")</f>
        <v>#VALUE!</v>
      </c>
      <c r="EA79" t="e">
        <f>AND(Insects!C82,"AAAAAFPui4I=")</f>
        <v>#VALUE!</v>
      </c>
      <c r="EB79" t="e">
        <f>AND(Insects!D82,"AAAAAFPui4M=")</f>
        <v>#VALUE!</v>
      </c>
      <c r="EC79" t="e">
        <f>AND(Insects!E82,"AAAAAFPui4Q=")</f>
        <v>#VALUE!</v>
      </c>
      <c r="ED79" t="e">
        <f>AND(Insects!F82,"AAAAAFPui4U=")</f>
        <v>#VALUE!</v>
      </c>
      <c r="EE79" t="e">
        <f>AND(Insects!G82,"AAAAAFPui4Y=")</f>
        <v>#VALUE!</v>
      </c>
      <c r="EF79" t="e">
        <f>AND(Insects!H82,"AAAAAFPui4c=")</f>
        <v>#VALUE!</v>
      </c>
      <c r="EG79" t="e">
        <f>AND(Insects!I82,"AAAAAFPui4g=")</f>
        <v>#VALUE!</v>
      </c>
      <c r="EH79" t="e">
        <f>AND(Insects!J82,"AAAAAFPui4k=")</f>
        <v>#VALUE!</v>
      </c>
      <c r="EI79" t="e">
        <f>AND(Insects!K82,"AAAAAFPui4o=")</f>
        <v>#VALUE!</v>
      </c>
      <c r="EJ79" t="e">
        <f>AND(Insects!L82,"AAAAAFPui4s=")</f>
        <v>#VALUE!</v>
      </c>
      <c r="EK79" t="e">
        <f>AND(Insects!M82,"AAAAAFPui4w=")</f>
        <v>#VALUE!</v>
      </c>
      <c r="EL79" t="e">
        <f>AND(Insects!N82,"AAAAAFPui40=")</f>
        <v>#VALUE!</v>
      </c>
      <c r="EM79" t="e">
        <f>AND(Insects!O82,"AAAAAFPui44=")</f>
        <v>#VALUE!</v>
      </c>
      <c r="EN79" t="e">
        <f>AND(Insects!P82,"AAAAAFPui48=")</f>
        <v>#VALUE!</v>
      </c>
      <c r="EO79">
        <f>IF(Insects!83:83,"AAAAAFPui5A=",0)</f>
        <v>0</v>
      </c>
      <c r="EP79" t="e">
        <f>AND(Insects!A83,"AAAAAFPui5E=")</f>
        <v>#VALUE!</v>
      </c>
      <c r="EQ79" t="e">
        <f>AND(Insects!B83,"AAAAAFPui5I=")</f>
        <v>#VALUE!</v>
      </c>
      <c r="ER79" t="e">
        <f>AND(Insects!C83,"AAAAAFPui5M=")</f>
        <v>#VALUE!</v>
      </c>
      <c r="ES79" t="e">
        <f>AND(Insects!D83,"AAAAAFPui5Q=")</f>
        <v>#VALUE!</v>
      </c>
      <c r="ET79" t="e">
        <f>AND(Insects!E83,"AAAAAFPui5U=")</f>
        <v>#VALUE!</v>
      </c>
      <c r="EU79" t="e">
        <f>AND(Insects!F83,"AAAAAFPui5Y=")</f>
        <v>#VALUE!</v>
      </c>
      <c r="EV79" t="e">
        <f>AND(Insects!G83,"AAAAAFPui5c=")</f>
        <v>#VALUE!</v>
      </c>
      <c r="EW79" t="e">
        <f>AND(Insects!H83,"AAAAAFPui5g=")</f>
        <v>#VALUE!</v>
      </c>
      <c r="EX79" t="e">
        <f>AND(Insects!I83,"AAAAAFPui5k=")</f>
        <v>#VALUE!</v>
      </c>
      <c r="EY79" t="e">
        <f>AND(Insects!J83,"AAAAAFPui5o=")</f>
        <v>#VALUE!</v>
      </c>
      <c r="EZ79" t="e">
        <f>AND(Insects!K83,"AAAAAFPui5s=")</f>
        <v>#VALUE!</v>
      </c>
      <c r="FA79" t="e">
        <f>AND(Insects!L83,"AAAAAFPui5w=")</f>
        <v>#VALUE!</v>
      </c>
      <c r="FB79" t="e">
        <f>AND(Insects!M83,"AAAAAFPui50=")</f>
        <v>#VALUE!</v>
      </c>
      <c r="FC79" t="e">
        <f>AND(Insects!N83,"AAAAAFPui54=")</f>
        <v>#VALUE!</v>
      </c>
      <c r="FD79" t="e">
        <f>AND(Insects!O83,"AAAAAFPui58=")</f>
        <v>#VALUE!</v>
      </c>
      <c r="FE79" t="e">
        <f>AND(Insects!P83,"AAAAAFPui6A=")</f>
        <v>#VALUE!</v>
      </c>
      <c r="FF79">
        <f>IF(Insects!84:84,"AAAAAFPui6E=",0)</f>
        <v>0</v>
      </c>
      <c r="FG79" t="e">
        <f>AND(Insects!A84,"AAAAAFPui6I=")</f>
        <v>#VALUE!</v>
      </c>
      <c r="FH79" t="e">
        <f>AND(Insects!B84,"AAAAAFPui6M=")</f>
        <v>#VALUE!</v>
      </c>
      <c r="FI79" t="e">
        <f>AND(Insects!C84,"AAAAAFPui6Q=")</f>
        <v>#VALUE!</v>
      </c>
      <c r="FJ79" t="e">
        <f>AND(Insects!D84,"AAAAAFPui6U=")</f>
        <v>#VALUE!</v>
      </c>
      <c r="FK79" t="e">
        <f>AND(Insects!E84,"AAAAAFPui6Y=")</f>
        <v>#VALUE!</v>
      </c>
      <c r="FL79" t="e">
        <f>AND(Insects!F84,"AAAAAFPui6c=")</f>
        <v>#VALUE!</v>
      </c>
      <c r="FM79" t="e">
        <f>AND(Insects!G84,"AAAAAFPui6g=")</f>
        <v>#VALUE!</v>
      </c>
      <c r="FN79" t="e">
        <f>AND(Insects!H84,"AAAAAFPui6k=")</f>
        <v>#VALUE!</v>
      </c>
      <c r="FO79" t="e">
        <f>AND(Insects!I84,"AAAAAFPui6o=")</f>
        <v>#VALUE!</v>
      </c>
      <c r="FP79" t="e">
        <f>AND(Insects!J84,"AAAAAFPui6s=")</f>
        <v>#VALUE!</v>
      </c>
      <c r="FQ79" t="e">
        <f>AND(Insects!K84,"AAAAAFPui6w=")</f>
        <v>#VALUE!</v>
      </c>
      <c r="FR79" t="e">
        <f>AND(Insects!L84,"AAAAAFPui60=")</f>
        <v>#VALUE!</v>
      </c>
      <c r="FS79" t="e">
        <f>AND(Insects!M84,"AAAAAFPui64=")</f>
        <v>#VALUE!</v>
      </c>
      <c r="FT79" t="e">
        <f>AND(Insects!N84,"AAAAAFPui68=")</f>
        <v>#VALUE!</v>
      </c>
      <c r="FU79" t="e">
        <f>AND(Insects!O84,"AAAAAFPui7A=")</f>
        <v>#VALUE!</v>
      </c>
      <c r="FV79" t="e">
        <f>AND(Insects!P84,"AAAAAFPui7E=")</f>
        <v>#VALUE!</v>
      </c>
      <c r="FW79">
        <f>IF(Insects!85:85,"AAAAAFPui7I=",0)</f>
        <v>0</v>
      </c>
      <c r="FX79" t="e">
        <f>AND(Insects!A85,"AAAAAFPui7M=")</f>
        <v>#VALUE!</v>
      </c>
      <c r="FY79" t="e">
        <f>AND(Insects!B85,"AAAAAFPui7Q=")</f>
        <v>#VALUE!</v>
      </c>
      <c r="FZ79" t="e">
        <f>AND(Insects!C85,"AAAAAFPui7U=")</f>
        <v>#VALUE!</v>
      </c>
      <c r="GA79" t="e">
        <f>AND(Insects!D85,"AAAAAFPui7Y=")</f>
        <v>#VALUE!</v>
      </c>
      <c r="GB79" t="e">
        <f>AND(Insects!E85,"AAAAAFPui7c=")</f>
        <v>#VALUE!</v>
      </c>
      <c r="GC79" t="e">
        <f>AND(Insects!F85,"AAAAAFPui7g=")</f>
        <v>#VALUE!</v>
      </c>
      <c r="GD79" t="e">
        <f>AND(Insects!G85,"AAAAAFPui7k=")</f>
        <v>#VALUE!</v>
      </c>
      <c r="GE79" t="e">
        <f>AND(Insects!H85,"AAAAAFPui7o=")</f>
        <v>#VALUE!</v>
      </c>
      <c r="GF79" t="e">
        <f>AND(Insects!I85,"AAAAAFPui7s=")</f>
        <v>#VALUE!</v>
      </c>
      <c r="GG79" t="e">
        <f>AND(Insects!J85,"AAAAAFPui7w=")</f>
        <v>#VALUE!</v>
      </c>
      <c r="GH79" t="e">
        <f>AND(Insects!K85,"AAAAAFPui70=")</f>
        <v>#VALUE!</v>
      </c>
      <c r="GI79" t="e">
        <f>AND(Insects!L85,"AAAAAFPui74=")</f>
        <v>#VALUE!</v>
      </c>
      <c r="GJ79" t="e">
        <f>AND(Insects!M85,"AAAAAFPui78=")</f>
        <v>#VALUE!</v>
      </c>
      <c r="GK79" t="e">
        <f>AND(Insects!N85,"AAAAAFPui8A=")</f>
        <v>#VALUE!</v>
      </c>
      <c r="GL79" t="e">
        <f>AND(Insects!O85,"AAAAAFPui8E=")</f>
        <v>#VALUE!</v>
      </c>
      <c r="GM79" t="e">
        <f>AND(Insects!P85,"AAAAAFPui8I=")</f>
        <v>#VALUE!</v>
      </c>
      <c r="GN79">
        <f>IF(Insects!86:86,"AAAAAFPui8M=",0)</f>
        <v>0</v>
      </c>
      <c r="GO79" t="e">
        <f>AND(Insects!A86,"AAAAAFPui8Q=")</f>
        <v>#VALUE!</v>
      </c>
      <c r="GP79" t="e">
        <f>AND(Insects!B86,"AAAAAFPui8U=")</f>
        <v>#VALUE!</v>
      </c>
      <c r="GQ79" t="e">
        <f>AND(Insects!C86,"AAAAAFPui8Y=")</f>
        <v>#VALUE!</v>
      </c>
      <c r="GR79" t="e">
        <f>AND(Insects!D86,"AAAAAFPui8c=")</f>
        <v>#VALUE!</v>
      </c>
      <c r="GS79" t="e">
        <f>AND(Insects!E86,"AAAAAFPui8g=")</f>
        <v>#VALUE!</v>
      </c>
      <c r="GT79" t="e">
        <f>AND(Insects!F86,"AAAAAFPui8k=")</f>
        <v>#VALUE!</v>
      </c>
      <c r="GU79" t="e">
        <f>AND(Insects!G86,"AAAAAFPui8o=")</f>
        <v>#VALUE!</v>
      </c>
      <c r="GV79" t="e">
        <f>AND(Insects!H86,"AAAAAFPui8s=")</f>
        <v>#VALUE!</v>
      </c>
      <c r="GW79" t="e">
        <f>AND(Insects!I86,"AAAAAFPui8w=")</f>
        <v>#VALUE!</v>
      </c>
      <c r="GX79" t="e">
        <f>AND(Insects!J86,"AAAAAFPui80=")</f>
        <v>#VALUE!</v>
      </c>
      <c r="GY79" t="e">
        <f>AND(Insects!K86,"AAAAAFPui84=")</f>
        <v>#VALUE!</v>
      </c>
      <c r="GZ79" t="e">
        <f>AND(Insects!L86,"AAAAAFPui88=")</f>
        <v>#VALUE!</v>
      </c>
      <c r="HA79" t="e">
        <f>AND(Insects!M86,"AAAAAFPui9A=")</f>
        <v>#VALUE!</v>
      </c>
      <c r="HB79" t="e">
        <f>AND(Insects!N86,"AAAAAFPui9E=")</f>
        <v>#VALUE!</v>
      </c>
      <c r="HC79" t="e">
        <f>AND(Insects!O86,"AAAAAFPui9I=")</f>
        <v>#VALUE!</v>
      </c>
      <c r="HD79" t="e">
        <f>AND(Insects!P86,"AAAAAFPui9M=")</f>
        <v>#VALUE!</v>
      </c>
      <c r="HE79">
        <f>IF(Insects!87:87,"AAAAAFPui9Q=",0)</f>
        <v>0</v>
      </c>
      <c r="HF79" t="e">
        <f>AND(Insects!A87,"AAAAAFPui9U=")</f>
        <v>#VALUE!</v>
      </c>
      <c r="HG79" t="e">
        <f>AND(Insects!B87,"AAAAAFPui9Y=")</f>
        <v>#VALUE!</v>
      </c>
      <c r="HH79" t="e">
        <f>AND(Insects!C87,"AAAAAFPui9c=")</f>
        <v>#VALUE!</v>
      </c>
      <c r="HI79" t="e">
        <f>AND(Insects!D87,"AAAAAFPui9g=")</f>
        <v>#VALUE!</v>
      </c>
      <c r="HJ79" t="e">
        <f>AND(Insects!E87,"AAAAAFPui9k=")</f>
        <v>#VALUE!</v>
      </c>
      <c r="HK79" t="e">
        <f>AND(Insects!F87,"AAAAAFPui9o=")</f>
        <v>#VALUE!</v>
      </c>
      <c r="HL79" t="e">
        <f>AND(Insects!G87,"AAAAAFPui9s=")</f>
        <v>#VALUE!</v>
      </c>
      <c r="HM79" t="e">
        <f>AND(Insects!H87,"AAAAAFPui9w=")</f>
        <v>#VALUE!</v>
      </c>
      <c r="HN79" t="e">
        <f>AND(Insects!I87,"AAAAAFPui90=")</f>
        <v>#VALUE!</v>
      </c>
      <c r="HO79" t="e">
        <f>AND(Insects!J87,"AAAAAFPui94=")</f>
        <v>#VALUE!</v>
      </c>
      <c r="HP79" t="e">
        <f>AND(Insects!K87,"AAAAAFPui98=")</f>
        <v>#VALUE!</v>
      </c>
      <c r="HQ79" t="e">
        <f>AND(Insects!L87,"AAAAAFPui+A=")</f>
        <v>#VALUE!</v>
      </c>
      <c r="HR79" t="e">
        <f>AND(Insects!M87,"AAAAAFPui+E=")</f>
        <v>#VALUE!</v>
      </c>
      <c r="HS79" t="e">
        <f>AND(Insects!N87,"AAAAAFPui+I=")</f>
        <v>#VALUE!</v>
      </c>
      <c r="HT79" t="e">
        <f>AND(Insects!O87,"AAAAAFPui+M=")</f>
        <v>#VALUE!</v>
      </c>
      <c r="HU79" t="e">
        <f>AND(Insects!P87,"AAAAAFPui+Q=")</f>
        <v>#VALUE!</v>
      </c>
      <c r="HV79">
        <f>IF(Insects!88:88,"AAAAAFPui+U=",0)</f>
        <v>0</v>
      </c>
      <c r="HW79" t="e">
        <f>AND(Insects!A88,"AAAAAFPui+Y=")</f>
        <v>#VALUE!</v>
      </c>
      <c r="HX79" t="e">
        <f>AND(Insects!B88,"AAAAAFPui+c=")</f>
        <v>#VALUE!</v>
      </c>
      <c r="HY79" t="e">
        <f>AND(Insects!C88,"AAAAAFPui+g=")</f>
        <v>#VALUE!</v>
      </c>
      <c r="HZ79" t="e">
        <f>AND(Insects!D88,"AAAAAFPui+k=")</f>
        <v>#VALUE!</v>
      </c>
      <c r="IA79" t="e">
        <f>AND(Insects!E88,"AAAAAFPui+o=")</f>
        <v>#VALUE!</v>
      </c>
      <c r="IB79" t="e">
        <f>AND(Insects!F88,"AAAAAFPui+s=")</f>
        <v>#VALUE!</v>
      </c>
      <c r="IC79" t="e">
        <f>AND(Insects!G88,"AAAAAFPui+w=")</f>
        <v>#VALUE!</v>
      </c>
      <c r="ID79" t="e">
        <f>AND(Insects!H88,"AAAAAFPui+0=")</f>
        <v>#VALUE!</v>
      </c>
      <c r="IE79" t="e">
        <f>AND(Insects!I88,"AAAAAFPui+4=")</f>
        <v>#VALUE!</v>
      </c>
      <c r="IF79" t="e">
        <f>AND(Insects!J88,"AAAAAFPui+8=")</f>
        <v>#VALUE!</v>
      </c>
      <c r="IG79" t="e">
        <f>AND(Insects!K88,"AAAAAFPui/A=")</f>
        <v>#VALUE!</v>
      </c>
      <c r="IH79" t="e">
        <f>AND(Insects!L88,"AAAAAFPui/E=")</f>
        <v>#VALUE!</v>
      </c>
      <c r="II79" t="e">
        <f>AND(Insects!M88,"AAAAAFPui/I=")</f>
        <v>#VALUE!</v>
      </c>
      <c r="IJ79" t="e">
        <f>AND(Insects!N88,"AAAAAFPui/M=")</f>
        <v>#VALUE!</v>
      </c>
      <c r="IK79" t="e">
        <f>AND(Insects!O88,"AAAAAFPui/Q=")</f>
        <v>#VALUE!</v>
      </c>
      <c r="IL79" t="e">
        <f>AND(Insects!P88,"AAAAAFPui/U=")</f>
        <v>#VALUE!</v>
      </c>
      <c r="IM79">
        <f>IF(Insects!89:89,"AAAAAFPui/Y=",0)</f>
        <v>0</v>
      </c>
      <c r="IN79" t="e">
        <f>AND(Insects!A89,"AAAAAFPui/c=")</f>
        <v>#VALUE!</v>
      </c>
      <c r="IO79" t="e">
        <f>AND(Insects!B89,"AAAAAFPui/g=")</f>
        <v>#VALUE!</v>
      </c>
      <c r="IP79" t="e">
        <f>AND(Insects!C89,"AAAAAFPui/k=")</f>
        <v>#VALUE!</v>
      </c>
      <c r="IQ79" t="e">
        <f>AND(Insects!D89,"AAAAAFPui/o=")</f>
        <v>#VALUE!</v>
      </c>
      <c r="IR79" t="e">
        <f>AND(Insects!E89,"AAAAAFPui/s=")</f>
        <v>#VALUE!</v>
      </c>
      <c r="IS79" t="e">
        <f>AND(Insects!F89,"AAAAAFPui/w=")</f>
        <v>#VALUE!</v>
      </c>
      <c r="IT79" t="e">
        <f>AND(Insects!G89,"AAAAAFPui/0=")</f>
        <v>#VALUE!</v>
      </c>
      <c r="IU79" t="e">
        <f>AND(Insects!H89,"AAAAAFPui/4=")</f>
        <v>#VALUE!</v>
      </c>
      <c r="IV79" t="e">
        <f>AND(Insects!I89,"AAAAAFPui/8=")</f>
        <v>#VALUE!</v>
      </c>
    </row>
    <row r="80" spans="1:256">
      <c r="A80" t="e">
        <f>AND(Insects!J89,"AAAAAG2P+wA=")</f>
        <v>#VALUE!</v>
      </c>
      <c r="B80" t="e">
        <f>AND(Insects!K89,"AAAAAG2P+wE=")</f>
        <v>#VALUE!</v>
      </c>
      <c r="C80" t="e">
        <f>AND(Insects!L89,"AAAAAG2P+wI=")</f>
        <v>#VALUE!</v>
      </c>
      <c r="D80" t="e">
        <f>AND(Insects!M89,"AAAAAG2P+wM=")</f>
        <v>#VALUE!</v>
      </c>
      <c r="E80" t="e">
        <f>AND(Insects!N89,"AAAAAG2P+wQ=")</f>
        <v>#VALUE!</v>
      </c>
      <c r="F80" t="e">
        <f>AND(Insects!O89,"AAAAAG2P+wU=")</f>
        <v>#VALUE!</v>
      </c>
      <c r="G80" t="e">
        <f>AND(Insects!P89,"AAAAAG2P+wY=")</f>
        <v>#VALUE!</v>
      </c>
      <c r="H80" t="e">
        <f>IF(Insects!90:90,"AAAAAG2P+wc=",0)</f>
        <v>#VALUE!</v>
      </c>
      <c r="I80" t="e">
        <f>AND(Insects!A90,"AAAAAG2P+wg=")</f>
        <v>#VALUE!</v>
      </c>
      <c r="J80" t="e">
        <f>AND(Insects!B90,"AAAAAG2P+wk=")</f>
        <v>#VALUE!</v>
      </c>
      <c r="K80" t="e">
        <f>AND(Insects!C90,"AAAAAG2P+wo=")</f>
        <v>#VALUE!</v>
      </c>
      <c r="L80" t="e">
        <f>AND(Insects!D90,"AAAAAG2P+ws=")</f>
        <v>#VALUE!</v>
      </c>
      <c r="M80" t="e">
        <f>AND(Insects!E90,"AAAAAG2P+ww=")</f>
        <v>#VALUE!</v>
      </c>
      <c r="N80" t="e">
        <f>AND(Insects!F90,"AAAAAG2P+w0=")</f>
        <v>#VALUE!</v>
      </c>
      <c r="O80" t="e">
        <f>AND(Insects!G90,"AAAAAG2P+w4=")</f>
        <v>#VALUE!</v>
      </c>
      <c r="P80" t="e">
        <f>AND(Insects!H90,"AAAAAG2P+w8=")</f>
        <v>#VALUE!</v>
      </c>
      <c r="Q80" t="e">
        <f>AND(Insects!I90,"AAAAAG2P+xA=")</f>
        <v>#VALUE!</v>
      </c>
      <c r="R80" t="e">
        <f>AND(Insects!J90,"AAAAAG2P+xE=")</f>
        <v>#VALUE!</v>
      </c>
      <c r="S80" t="e">
        <f>AND(Insects!K90,"AAAAAG2P+xI=")</f>
        <v>#VALUE!</v>
      </c>
      <c r="T80" t="e">
        <f>AND(Insects!L90,"AAAAAG2P+xM=")</f>
        <v>#VALUE!</v>
      </c>
      <c r="U80" t="e">
        <f>AND(Insects!M90,"AAAAAG2P+xQ=")</f>
        <v>#VALUE!</v>
      </c>
      <c r="V80" t="e">
        <f>AND(Insects!N90,"AAAAAG2P+xU=")</f>
        <v>#VALUE!</v>
      </c>
      <c r="W80" t="e">
        <f>AND(Insects!O90,"AAAAAG2P+xY=")</f>
        <v>#VALUE!</v>
      </c>
      <c r="X80" t="e">
        <f>AND(Insects!P90,"AAAAAG2P+xc=")</f>
        <v>#VALUE!</v>
      </c>
      <c r="Y80">
        <f>IF(Insects!91:91,"AAAAAG2P+xg=",0)</f>
        <v>0</v>
      </c>
      <c r="Z80" t="e">
        <f>AND(Insects!A91,"AAAAAG2P+xk=")</f>
        <v>#VALUE!</v>
      </c>
      <c r="AA80" t="e">
        <f>AND(Insects!B91,"AAAAAG2P+xo=")</f>
        <v>#VALUE!</v>
      </c>
      <c r="AB80" t="e">
        <f>AND(Insects!C91,"AAAAAG2P+xs=")</f>
        <v>#VALUE!</v>
      </c>
      <c r="AC80" t="e">
        <f>AND(Insects!D91,"AAAAAG2P+xw=")</f>
        <v>#VALUE!</v>
      </c>
      <c r="AD80" t="e">
        <f>AND(Insects!E91,"AAAAAG2P+x0=")</f>
        <v>#VALUE!</v>
      </c>
      <c r="AE80" t="e">
        <f>AND(Insects!F91,"AAAAAG2P+x4=")</f>
        <v>#VALUE!</v>
      </c>
      <c r="AF80" t="e">
        <f>AND(Insects!G91,"AAAAAG2P+x8=")</f>
        <v>#VALUE!</v>
      </c>
      <c r="AG80" t="e">
        <f>AND(Insects!H91,"AAAAAG2P+yA=")</f>
        <v>#VALUE!</v>
      </c>
      <c r="AH80" t="e">
        <f>AND(Insects!I91,"AAAAAG2P+yE=")</f>
        <v>#VALUE!</v>
      </c>
      <c r="AI80" t="e">
        <f>AND(Insects!J91,"AAAAAG2P+yI=")</f>
        <v>#VALUE!</v>
      </c>
      <c r="AJ80" t="e">
        <f>AND(Insects!K91,"AAAAAG2P+yM=")</f>
        <v>#VALUE!</v>
      </c>
      <c r="AK80" t="e">
        <f>AND(Insects!L91,"AAAAAG2P+yQ=")</f>
        <v>#VALUE!</v>
      </c>
      <c r="AL80" t="e">
        <f>AND(Insects!M91,"AAAAAG2P+yU=")</f>
        <v>#VALUE!</v>
      </c>
      <c r="AM80" t="e">
        <f>AND(Insects!N91,"AAAAAG2P+yY=")</f>
        <v>#VALUE!</v>
      </c>
      <c r="AN80" t="e">
        <f>AND(Insects!O91,"AAAAAG2P+yc=")</f>
        <v>#VALUE!</v>
      </c>
      <c r="AO80" t="e">
        <f>AND(Insects!P91,"AAAAAG2P+yg=")</f>
        <v>#VALUE!</v>
      </c>
      <c r="AP80">
        <f>IF(Insects!92:92,"AAAAAG2P+yk=",0)</f>
        <v>0</v>
      </c>
      <c r="AQ80" t="e">
        <f>AND(Insects!A92,"AAAAAG2P+yo=")</f>
        <v>#VALUE!</v>
      </c>
      <c r="AR80" t="e">
        <f>AND(Insects!B92,"AAAAAG2P+ys=")</f>
        <v>#VALUE!</v>
      </c>
      <c r="AS80" t="e">
        <f>AND(Insects!C92,"AAAAAG2P+yw=")</f>
        <v>#VALUE!</v>
      </c>
      <c r="AT80" t="e">
        <f>AND(Insects!D92,"AAAAAG2P+y0=")</f>
        <v>#VALUE!</v>
      </c>
      <c r="AU80" t="e">
        <f>AND(Insects!E92,"AAAAAG2P+y4=")</f>
        <v>#VALUE!</v>
      </c>
      <c r="AV80" t="e">
        <f>AND(Insects!F92,"AAAAAG2P+y8=")</f>
        <v>#VALUE!</v>
      </c>
      <c r="AW80" t="e">
        <f>AND(Insects!G92,"AAAAAG2P+zA=")</f>
        <v>#VALUE!</v>
      </c>
      <c r="AX80" t="e">
        <f>AND(Insects!H92,"AAAAAG2P+zE=")</f>
        <v>#VALUE!</v>
      </c>
      <c r="AY80" t="e">
        <f>AND(Insects!I92,"AAAAAG2P+zI=")</f>
        <v>#VALUE!</v>
      </c>
      <c r="AZ80" t="e">
        <f>AND(Insects!J92,"AAAAAG2P+zM=")</f>
        <v>#VALUE!</v>
      </c>
      <c r="BA80" t="e">
        <f>AND(Insects!K92,"AAAAAG2P+zQ=")</f>
        <v>#VALUE!</v>
      </c>
      <c r="BB80" t="e">
        <f>AND(Insects!L92,"AAAAAG2P+zU=")</f>
        <v>#VALUE!</v>
      </c>
      <c r="BC80" t="e">
        <f>AND(Insects!M92,"AAAAAG2P+zY=")</f>
        <v>#VALUE!</v>
      </c>
      <c r="BD80" t="e">
        <f>AND(Insects!N92,"AAAAAG2P+zc=")</f>
        <v>#VALUE!</v>
      </c>
      <c r="BE80" t="e">
        <f>AND(Insects!O92,"AAAAAG2P+zg=")</f>
        <v>#VALUE!</v>
      </c>
      <c r="BF80" t="e">
        <f>AND(Insects!P92,"AAAAAG2P+zk=")</f>
        <v>#VALUE!</v>
      </c>
      <c r="BG80">
        <f>IF(Insects!93:93,"AAAAAG2P+zo=",0)</f>
        <v>0</v>
      </c>
      <c r="BH80" t="e">
        <f>AND(Insects!A93,"AAAAAG2P+zs=")</f>
        <v>#VALUE!</v>
      </c>
      <c r="BI80" t="e">
        <f>AND(Insects!B93,"AAAAAG2P+zw=")</f>
        <v>#VALUE!</v>
      </c>
      <c r="BJ80" t="e">
        <f>AND(Insects!C93,"AAAAAG2P+z0=")</f>
        <v>#VALUE!</v>
      </c>
      <c r="BK80" t="e">
        <f>AND(Insects!D93,"AAAAAG2P+z4=")</f>
        <v>#VALUE!</v>
      </c>
      <c r="BL80" t="e">
        <f>AND(Insects!E93,"AAAAAG2P+z8=")</f>
        <v>#VALUE!</v>
      </c>
      <c r="BM80" t="e">
        <f>AND(Insects!F93,"AAAAAG2P+0A=")</f>
        <v>#VALUE!</v>
      </c>
      <c r="BN80" t="e">
        <f>AND(Insects!G93,"AAAAAG2P+0E=")</f>
        <v>#VALUE!</v>
      </c>
      <c r="BO80" t="e">
        <f>AND(Insects!H93,"AAAAAG2P+0I=")</f>
        <v>#VALUE!</v>
      </c>
      <c r="BP80" t="e">
        <f>AND(Insects!I93,"AAAAAG2P+0M=")</f>
        <v>#VALUE!</v>
      </c>
      <c r="BQ80" t="e">
        <f>AND(Insects!J93,"AAAAAG2P+0Q=")</f>
        <v>#VALUE!</v>
      </c>
      <c r="BR80" t="e">
        <f>AND(Insects!K93,"AAAAAG2P+0U=")</f>
        <v>#VALUE!</v>
      </c>
      <c r="BS80" t="e">
        <f>AND(Insects!L93,"AAAAAG2P+0Y=")</f>
        <v>#VALUE!</v>
      </c>
      <c r="BT80" t="e">
        <f>AND(Insects!M93,"AAAAAG2P+0c=")</f>
        <v>#VALUE!</v>
      </c>
      <c r="BU80" t="e">
        <f>AND(Insects!N93,"AAAAAG2P+0g=")</f>
        <v>#VALUE!</v>
      </c>
      <c r="BV80" t="e">
        <f>AND(Insects!O93,"AAAAAG2P+0k=")</f>
        <v>#VALUE!</v>
      </c>
      <c r="BW80" t="e">
        <f>AND(Insects!P93,"AAAAAG2P+0o=")</f>
        <v>#VALUE!</v>
      </c>
      <c r="BX80">
        <f>IF(Insects!94:94,"AAAAAG2P+0s=",0)</f>
        <v>0</v>
      </c>
      <c r="BY80" t="e">
        <f>AND(Insects!A94,"AAAAAG2P+0w=")</f>
        <v>#VALUE!</v>
      </c>
      <c r="BZ80" t="e">
        <f>AND(Insects!B94,"AAAAAG2P+00=")</f>
        <v>#VALUE!</v>
      </c>
      <c r="CA80" t="e">
        <f>AND(Insects!C94,"AAAAAG2P+04=")</f>
        <v>#VALUE!</v>
      </c>
      <c r="CB80" t="e">
        <f>AND(Insects!D94,"AAAAAG2P+08=")</f>
        <v>#VALUE!</v>
      </c>
      <c r="CC80" t="e">
        <f>AND(Insects!E94,"AAAAAG2P+1A=")</f>
        <v>#VALUE!</v>
      </c>
      <c r="CD80" t="e">
        <f>AND(Insects!F94,"AAAAAG2P+1E=")</f>
        <v>#VALUE!</v>
      </c>
      <c r="CE80" t="e">
        <f>AND(Insects!G94,"AAAAAG2P+1I=")</f>
        <v>#VALUE!</v>
      </c>
      <c r="CF80" t="e">
        <f>AND(Insects!H94,"AAAAAG2P+1M=")</f>
        <v>#VALUE!</v>
      </c>
      <c r="CG80" t="e">
        <f>AND(Insects!I94,"AAAAAG2P+1Q=")</f>
        <v>#VALUE!</v>
      </c>
      <c r="CH80" t="e">
        <f>AND(Insects!J94,"AAAAAG2P+1U=")</f>
        <v>#VALUE!</v>
      </c>
      <c r="CI80" t="e">
        <f>AND(Insects!K94,"AAAAAG2P+1Y=")</f>
        <v>#VALUE!</v>
      </c>
      <c r="CJ80" t="e">
        <f>AND(Insects!L94,"AAAAAG2P+1c=")</f>
        <v>#VALUE!</v>
      </c>
      <c r="CK80" t="e">
        <f>AND(Insects!M94,"AAAAAG2P+1g=")</f>
        <v>#VALUE!</v>
      </c>
      <c r="CL80" t="e">
        <f>AND(Insects!N94,"AAAAAG2P+1k=")</f>
        <v>#VALUE!</v>
      </c>
      <c r="CM80" t="e">
        <f>AND(Insects!O94,"AAAAAG2P+1o=")</f>
        <v>#VALUE!</v>
      </c>
      <c r="CN80" t="e">
        <f>AND(Insects!P94,"AAAAAG2P+1s=")</f>
        <v>#VALUE!</v>
      </c>
      <c r="CO80">
        <f>IF(Insects!95:95,"AAAAAG2P+1w=",0)</f>
        <v>0</v>
      </c>
      <c r="CP80" t="e">
        <f>AND(Insects!A95,"AAAAAG2P+10=")</f>
        <v>#VALUE!</v>
      </c>
      <c r="CQ80" t="e">
        <f>AND(Insects!B95,"AAAAAG2P+14=")</f>
        <v>#VALUE!</v>
      </c>
      <c r="CR80" t="e">
        <f>AND(Insects!C95,"AAAAAG2P+18=")</f>
        <v>#VALUE!</v>
      </c>
      <c r="CS80" t="e">
        <f>AND(Insects!D95,"AAAAAG2P+2A=")</f>
        <v>#VALUE!</v>
      </c>
      <c r="CT80" t="e">
        <f>AND(Insects!E95,"AAAAAG2P+2E=")</f>
        <v>#VALUE!</v>
      </c>
      <c r="CU80" t="e">
        <f>AND(Insects!F95,"AAAAAG2P+2I=")</f>
        <v>#VALUE!</v>
      </c>
      <c r="CV80" t="e">
        <f>AND(Insects!G95,"AAAAAG2P+2M=")</f>
        <v>#VALUE!</v>
      </c>
      <c r="CW80" t="e">
        <f>AND(Insects!H95,"AAAAAG2P+2Q=")</f>
        <v>#VALUE!</v>
      </c>
      <c r="CX80" t="e">
        <f>AND(Insects!I95,"AAAAAG2P+2U=")</f>
        <v>#VALUE!</v>
      </c>
      <c r="CY80" t="e">
        <f>AND(Insects!J95,"AAAAAG2P+2Y=")</f>
        <v>#VALUE!</v>
      </c>
      <c r="CZ80" t="e">
        <f>AND(Insects!K95,"AAAAAG2P+2c=")</f>
        <v>#VALUE!</v>
      </c>
      <c r="DA80" t="e">
        <f>AND(Insects!L95,"AAAAAG2P+2g=")</f>
        <v>#VALUE!</v>
      </c>
      <c r="DB80" t="e">
        <f>AND(Insects!M95,"AAAAAG2P+2k=")</f>
        <v>#VALUE!</v>
      </c>
      <c r="DC80" t="e">
        <f>AND(Insects!N95,"AAAAAG2P+2o=")</f>
        <v>#VALUE!</v>
      </c>
      <c r="DD80" t="e">
        <f>AND(Insects!O95,"AAAAAG2P+2s=")</f>
        <v>#VALUE!</v>
      </c>
      <c r="DE80" t="e">
        <f>AND(Insects!P95,"AAAAAG2P+2w=")</f>
        <v>#VALUE!</v>
      </c>
      <c r="DF80">
        <f>IF(Insects!96:96,"AAAAAG2P+20=",0)</f>
        <v>0</v>
      </c>
      <c r="DG80" t="e">
        <f>AND(Insects!A96,"AAAAAG2P+24=")</f>
        <v>#VALUE!</v>
      </c>
      <c r="DH80" t="e">
        <f>AND(Insects!B96,"AAAAAG2P+28=")</f>
        <v>#VALUE!</v>
      </c>
      <c r="DI80" t="e">
        <f>AND(Insects!C96,"AAAAAG2P+3A=")</f>
        <v>#VALUE!</v>
      </c>
      <c r="DJ80" t="e">
        <f>AND(Insects!D96,"AAAAAG2P+3E=")</f>
        <v>#VALUE!</v>
      </c>
      <c r="DK80" t="e">
        <f>AND(Insects!E96,"AAAAAG2P+3I=")</f>
        <v>#VALUE!</v>
      </c>
      <c r="DL80" t="e">
        <f>AND(Insects!F96,"AAAAAG2P+3M=")</f>
        <v>#VALUE!</v>
      </c>
      <c r="DM80" t="e">
        <f>AND(Insects!G96,"AAAAAG2P+3Q=")</f>
        <v>#VALUE!</v>
      </c>
      <c r="DN80" t="e">
        <f>AND(Insects!H96,"AAAAAG2P+3U=")</f>
        <v>#VALUE!</v>
      </c>
      <c r="DO80" t="e">
        <f>AND(Insects!I96,"AAAAAG2P+3Y=")</f>
        <v>#VALUE!</v>
      </c>
      <c r="DP80" t="e">
        <f>AND(Insects!J96,"AAAAAG2P+3c=")</f>
        <v>#VALUE!</v>
      </c>
      <c r="DQ80" t="e">
        <f>AND(Insects!K96,"AAAAAG2P+3g=")</f>
        <v>#VALUE!</v>
      </c>
      <c r="DR80" t="e">
        <f>AND(Insects!L96,"AAAAAG2P+3k=")</f>
        <v>#VALUE!</v>
      </c>
      <c r="DS80" t="e">
        <f>AND(Insects!M96,"AAAAAG2P+3o=")</f>
        <v>#VALUE!</v>
      </c>
      <c r="DT80" t="e">
        <f>AND(Insects!N96,"AAAAAG2P+3s=")</f>
        <v>#VALUE!</v>
      </c>
      <c r="DU80" t="e">
        <f>AND(Insects!O96,"AAAAAG2P+3w=")</f>
        <v>#VALUE!</v>
      </c>
      <c r="DV80" t="e">
        <f>AND(Insects!P96,"AAAAAG2P+30=")</f>
        <v>#VALUE!</v>
      </c>
      <c r="DW80">
        <f>IF(Insects!97:97,"AAAAAG2P+34=",0)</f>
        <v>0</v>
      </c>
      <c r="DX80" t="e">
        <f>AND(Insects!A97,"AAAAAG2P+38=")</f>
        <v>#VALUE!</v>
      </c>
      <c r="DY80" t="e">
        <f>AND(Insects!B97,"AAAAAG2P+4A=")</f>
        <v>#VALUE!</v>
      </c>
      <c r="DZ80" t="e">
        <f>AND(Insects!C97,"AAAAAG2P+4E=")</f>
        <v>#VALUE!</v>
      </c>
      <c r="EA80" t="e">
        <f>AND(Insects!D97,"AAAAAG2P+4I=")</f>
        <v>#VALUE!</v>
      </c>
      <c r="EB80" t="e">
        <f>AND(Insects!E97,"AAAAAG2P+4M=")</f>
        <v>#VALUE!</v>
      </c>
      <c r="EC80" t="e">
        <f>AND(Insects!F97,"AAAAAG2P+4Q=")</f>
        <v>#VALUE!</v>
      </c>
      <c r="ED80" t="e">
        <f>AND(Insects!G97,"AAAAAG2P+4U=")</f>
        <v>#VALUE!</v>
      </c>
      <c r="EE80" t="e">
        <f>AND(Insects!H97,"AAAAAG2P+4Y=")</f>
        <v>#VALUE!</v>
      </c>
      <c r="EF80" t="e">
        <f>AND(Insects!I97,"AAAAAG2P+4c=")</f>
        <v>#VALUE!</v>
      </c>
      <c r="EG80" t="e">
        <f>AND(Insects!J97,"AAAAAG2P+4g=")</f>
        <v>#VALUE!</v>
      </c>
      <c r="EH80" t="e">
        <f>AND(Insects!K97,"AAAAAG2P+4k=")</f>
        <v>#VALUE!</v>
      </c>
      <c r="EI80" t="e">
        <f>AND(Insects!L97,"AAAAAG2P+4o=")</f>
        <v>#VALUE!</v>
      </c>
      <c r="EJ80" t="e">
        <f>AND(Insects!M97,"AAAAAG2P+4s=")</f>
        <v>#VALUE!</v>
      </c>
      <c r="EK80" t="e">
        <f>AND(Insects!N97,"AAAAAG2P+4w=")</f>
        <v>#VALUE!</v>
      </c>
      <c r="EL80" t="e">
        <f>AND(Insects!O97,"AAAAAG2P+40=")</f>
        <v>#VALUE!</v>
      </c>
      <c r="EM80" t="e">
        <f>AND(Insects!P97,"AAAAAG2P+44=")</f>
        <v>#VALUE!</v>
      </c>
      <c r="EN80">
        <f>IF(Insects!98:98,"AAAAAG2P+48=",0)</f>
        <v>0</v>
      </c>
      <c r="EO80" t="e">
        <f>AND(Insects!A98,"AAAAAG2P+5A=")</f>
        <v>#VALUE!</v>
      </c>
      <c r="EP80" t="e">
        <f>AND(Insects!B98,"AAAAAG2P+5E=")</f>
        <v>#VALUE!</v>
      </c>
      <c r="EQ80" t="e">
        <f>AND(Insects!C98,"AAAAAG2P+5I=")</f>
        <v>#VALUE!</v>
      </c>
      <c r="ER80" t="e">
        <f>AND(Insects!D98,"AAAAAG2P+5M=")</f>
        <v>#VALUE!</v>
      </c>
      <c r="ES80" t="e">
        <f>AND(Insects!E98,"AAAAAG2P+5Q=")</f>
        <v>#VALUE!</v>
      </c>
      <c r="ET80" t="e">
        <f>AND(Insects!F98,"AAAAAG2P+5U=")</f>
        <v>#VALUE!</v>
      </c>
      <c r="EU80" t="e">
        <f>AND(Insects!G98,"AAAAAG2P+5Y=")</f>
        <v>#VALUE!</v>
      </c>
      <c r="EV80" t="e">
        <f>AND(Insects!H98,"AAAAAG2P+5c=")</f>
        <v>#VALUE!</v>
      </c>
      <c r="EW80" t="e">
        <f>AND(Insects!I98,"AAAAAG2P+5g=")</f>
        <v>#VALUE!</v>
      </c>
      <c r="EX80" t="e">
        <f>AND(Insects!J98,"AAAAAG2P+5k=")</f>
        <v>#VALUE!</v>
      </c>
      <c r="EY80" t="e">
        <f>AND(Insects!K98,"AAAAAG2P+5o=")</f>
        <v>#VALUE!</v>
      </c>
      <c r="EZ80" t="e">
        <f>AND(Insects!L98,"AAAAAG2P+5s=")</f>
        <v>#VALUE!</v>
      </c>
      <c r="FA80" t="e">
        <f>AND(Insects!M98,"AAAAAG2P+5w=")</f>
        <v>#VALUE!</v>
      </c>
      <c r="FB80" t="e">
        <f>AND(Insects!N98,"AAAAAG2P+50=")</f>
        <v>#VALUE!</v>
      </c>
      <c r="FC80" t="e">
        <f>AND(Insects!O98,"AAAAAG2P+54=")</f>
        <v>#VALUE!</v>
      </c>
      <c r="FD80" t="e">
        <f>AND(Insects!P98,"AAAAAG2P+58=")</f>
        <v>#VALUE!</v>
      </c>
      <c r="FE80">
        <f>IF(Insects!99:99,"AAAAAG2P+6A=",0)</f>
        <v>0</v>
      </c>
      <c r="FF80" t="e">
        <f>AND(Insects!A99,"AAAAAG2P+6E=")</f>
        <v>#VALUE!</v>
      </c>
      <c r="FG80" t="e">
        <f>AND(Insects!B99,"AAAAAG2P+6I=")</f>
        <v>#VALUE!</v>
      </c>
      <c r="FH80" t="e">
        <f>AND(Insects!C99,"AAAAAG2P+6M=")</f>
        <v>#VALUE!</v>
      </c>
      <c r="FI80" t="e">
        <f>AND(Insects!D99,"AAAAAG2P+6Q=")</f>
        <v>#VALUE!</v>
      </c>
      <c r="FJ80" t="e">
        <f>AND(Insects!E99,"AAAAAG2P+6U=")</f>
        <v>#VALUE!</v>
      </c>
      <c r="FK80" t="e">
        <f>AND(Insects!F99,"AAAAAG2P+6Y=")</f>
        <v>#VALUE!</v>
      </c>
      <c r="FL80" t="e">
        <f>AND(Insects!G99,"AAAAAG2P+6c=")</f>
        <v>#VALUE!</v>
      </c>
      <c r="FM80" t="e">
        <f>AND(Insects!H99,"AAAAAG2P+6g=")</f>
        <v>#VALUE!</v>
      </c>
      <c r="FN80" t="e">
        <f>AND(Insects!I99,"AAAAAG2P+6k=")</f>
        <v>#VALUE!</v>
      </c>
      <c r="FO80" t="e">
        <f>AND(Insects!J99,"AAAAAG2P+6o=")</f>
        <v>#VALUE!</v>
      </c>
      <c r="FP80" t="e">
        <f>AND(Insects!K99,"AAAAAG2P+6s=")</f>
        <v>#VALUE!</v>
      </c>
      <c r="FQ80" t="e">
        <f>AND(Insects!L99,"AAAAAG2P+6w=")</f>
        <v>#VALUE!</v>
      </c>
      <c r="FR80" t="e">
        <f>AND(Insects!M99,"AAAAAG2P+60=")</f>
        <v>#VALUE!</v>
      </c>
      <c r="FS80" t="e">
        <f>AND(Insects!N99,"AAAAAG2P+64=")</f>
        <v>#VALUE!</v>
      </c>
      <c r="FT80" t="e">
        <f>AND(Insects!O99,"AAAAAG2P+68=")</f>
        <v>#VALUE!</v>
      </c>
      <c r="FU80" t="e">
        <f>AND(Insects!P99,"AAAAAG2P+7A=")</f>
        <v>#VALUE!</v>
      </c>
      <c r="FV80">
        <f>IF(Insects!100:100,"AAAAAG2P+7E=",0)</f>
        <v>0</v>
      </c>
      <c r="FW80" t="e">
        <f>AND(Insects!A100,"AAAAAG2P+7I=")</f>
        <v>#VALUE!</v>
      </c>
      <c r="FX80" t="e">
        <f>AND(Insects!B100,"AAAAAG2P+7M=")</f>
        <v>#VALUE!</v>
      </c>
      <c r="FY80" t="e">
        <f>AND(Insects!C100,"AAAAAG2P+7Q=")</f>
        <v>#VALUE!</v>
      </c>
      <c r="FZ80" t="e">
        <f>AND(Insects!D100,"AAAAAG2P+7U=")</f>
        <v>#VALUE!</v>
      </c>
      <c r="GA80" t="e">
        <f>AND(Insects!E100,"AAAAAG2P+7Y=")</f>
        <v>#VALUE!</v>
      </c>
      <c r="GB80" t="e">
        <f>AND(Insects!F100,"AAAAAG2P+7c=")</f>
        <v>#VALUE!</v>
      </c>
      <c r="GC80" t="e">
        <f>AND(Insects!G100,"AAAAAG2P+7g=")</f>
        <v>#VALUE!</v>
      </c>
      <c r="GD80" t="e">
        <f>AND(Insects!H100,"AAAAAG2P+7k=")</f>
        <v>#VALUE!</v>
      </c>
      <c r="GE80" t="e">
        <f>AND(Insects!I100,"AAAAAG2P+7o=")</f>
        <v>#VALUE!</v>
      </c>
      <c r="GF80" t="e">
        <f>AND(Insects!J100,"AAAAAG2P+7s=")</f>
        <v>#VALUE!</v>
      </c>
      <c r="GG80" t="e">
        <f>AND(Insects!K100,"AAAAAG2P+7w=")</f>
        <v>#VALUE!</v>
      </c>
      <c r="GH80" t="e">
        <f>AND(Insects!L100,"AAAAAG2P+70=")</f>
        <v>#VALUE!</v>
      </c>
      <c r="GI80" t="e">
        <f>AND(Insects!M100,"AAAAAG2P+74=")</f>
        <v>#VALUE!</v>
      </c>
      <c r="GJ80" t="e">
        <f>AND(Insects!N100,"AAAAAG2P+78=")</f>
        <v>#VALUE!</v>
      </c>
      <c r="GK80" t="e">
        <f>AND(Insects!O100,"AAAAAG2P+8A=")</f>
        <v>#VALUE!</v>
      </c>
      <c r="GL80" t="e">
        <f>AND(Insects!P100,"AAAAAG2P+8E=")</f>
        <v>#VALUE!</v>
      </c>
      <c r="GM80">
        <f>IF(Insects!101:101,"AAAAAG2P+8I=",0)</f>
        <v>0</v>
      </c>
      <c r="GN80" t="e">
        <f>AND(Insects!A101,"AAAAAG2P+8M=")</f>
        <v>#VALUE!</v>
      </c>
      <c r="GO80" t="e">
        <f>AND(Insects!B101,"AAAAAG2P+8Q=")</f>
        <v>#VALUE!</v>
      </c>
      <c r="GP80" t="e">
        <f>AND(Insects!C101,"AAAAAG2P+8U=")</f>
        <v>#VALUE!</v>
      </c>
      <c r="GQ80" t="e">
        <f>AND(Insects!D101,"AAAAAG2P+8Y=")</f>
        <v>#VALUE!</v>
      </c>
      <c r="GR80" t="e">
        <f>AND(Insects!E101,"AAAAAG2P+8c=")</f>
        <v>#VALUE!</v>
      </c>
      <c r="GS80" t="e">
        <f>AND(Insects!F101,"AAAAAG2P+8g=")</f>
        <v>#VALUE!</v>
      </c>
      <c r="GT80" t="e">
        <f>AND(Insects!G101,"AAAAAG2P+8k=")</f>
        <v>#VALUE!</v>
      </c>
      <c r="GU80" t="e">
        <f>AND(Insects!H101,"AAAAAG2P+8o=")</f>
        <v>#VALUE!</v>
      </c>
      <c r="GV80" t="e">
        <f>AND(Insects!I101,"AAAAAG2P+8s=")</f>
        <v>#VALUE!</v>
      </c>
      <c r="GW80" t="e">
        <f>AND(Insects!J101,"AAAAAG2P+8w=")</f>
        <v>#VALUE!</v>
      </c>
      <c r="GX80" t="e">
        <f>AND(Insects!K101,"AAAAAG2P+80=")</f>
        <v>#VALUE!</v>
      </c>
      <c r="GY80" t="e">
        <f>AND(Insects!L101,"AAAAAG2P+84=")</f>
        <v>#VALUE!</v>
      </c>
      <c r="GZ80" t="e">
        <f>AND(Insects!M101,"AAAAAG2P+88=")</f>
        <v>#VALUE!</v>
      </c>
      <c r="HA80" t="e">
        <f>AND(Insects!N101,"AAAAAG2P+9A=")</f>
        <v>#VALUE!</v>
      </c>
      <c r="HB80" t="e">
        <f>AND(Insects!O101,"AAAAAG2P+9E=")</f>
        <v>#VALUE!</v>
      </c>
      <c r="HC80" t="e">
        <f>AND(Insects!P101,"AAAAAG2P+9I=")</f>
        <v>#VALUE!</v>
      </c>
      <c r="HD80">
        <f>IF(Insects!102:102,"AAAAAG2P+9M=",0)</f>
        <v>0</v>
      </c>
      <c r="HE80" t="e">
        <f>AND(Insects!A102,"AAAAAG2P+9Q=")</f>
        <v>#VALUE!</v>
      </c>
      <c r="HF80" t="e">
        <f>AND(Insects!B102,"AAAAAG2P+9U=")</f>
        <v>#VALUE!</v>
      </c>
      <c r="HG80" t="e">
        <f>AND(Insects!C102,"AAAAAG2P+9Y=")</f>
        <v>#VALUE!</v>
      </c>
      <c r="HH80" t="e">
        <f>AND(Insects!D102,"AAAAAG2P+9c=")</f>
        <v>#VALUE!</v>
      </c>
      <c r="HI80" t="e">
        <f>AND(Insects!E102,"AAAAAG2P+9g=")</f>
        <v>#VALUE!</v>
      </c>
      <c r="HJ80" t="e">
        <f>AND(Insects!F102,"AAAAAG2P+9k=")</f>
        <v>#VALUE!</v>
      </c>
      <c r="HK80" t="e">
        <f>AND(Insects!G102,"AAAAAG2P+9o=")</f>
        <v>#VALUE!</v>
      </c>
      <c r="HL80" t="e">
        <f>AND(Insects!H102,"AAAAAG2P+9s=")</f>
        <v>#VALUE!</v>
      </c>
      <c r="HM80" t="e">
        <f>AND(Insects!I102,"AAAAAG2P+9w=")</f>
        <v>#VALUE!</v>
      </c>
      <c r="HN80" t="e">
        <f>AND(Insects!J102,"AAAAAG2P+90=")</f>
        <v>#VALUE!</v>
      </c>
      <c r="HO80" t="e">
        <f>AND(Insects!K102,"AAAAAG2P+94=")</f>
        <v>#VALUE!</v>
      </c>
      <c r="HP80" t="e">
        <f>AND(Insects!L102,"AAAAAG2P+98=")</f>
        <v>#VALUE!</v>
      </c>
      <c r="HQ80" t="e">
        <f>AND(Insects!M102,"AAAAAG2P++A=")</f>
        <v>#VALUE!</v>
      </c>
      <c r="HR80" t="e">
        <f>AND(Insects!N102,"AAAAAG2P++E=")</f>
        <v>#VALUE!</v>
      </c>
      <c r="HS80" t="e">
        <f>AND(Insects!O102,"AAAAAG2P++I=")</f>
        <v>#VALUE!</v>
      </c>
      <c r="HT80" t="e">
        <f>AND(Insects!P102,"AAAAAG2P++M=")</f>
        <v>#VALUE!</v>
      </c>
      <c r="HU80">
        <f>IF(Insects!103:103,"AAAAAG2P++Q=",0)</f>
        <v>0</v>
      </c>
      <c r="HV80" t="e">
        <f>AND(Insects!A103,"AAAAAG2P++U=")</f>
        <v>#VALUE!</v>
      </c>
      <c r="HW80" t="e">
        <f>AND(Insects!B103,"AAAAAG2P++Y=")</f>
        <v>#VALUE!</v>
      </c>
      <c r="HX80" t="e">
        <f>AND(Insects!C103,"AAAAAG2P++c=")</f>
        <v>#VALUE!</v>
      </c>
      <c r="HY80" t="e">
        <f>AND(Insects!D103,"AAAAAG2P++g=")</f>
        <v>#VALUE!</v>
      </c>
      <c r="HZ80" t="e">
        <f>AND(Insects!E103,"AAAAAG2P++k=")</f>
        <v>#VALUE!</v>
      </c>
      <c r="IA80" t="e">
        <f>AND(Insects!F103,"AAAAAG2P++o=")</f>
        <v>#VALUE!</v>
      </c>
      <c r="IB80" t="e">
        <f>AND(Insects!G103,"AAAAAG2P++s=")</f>
        <v>#VALUE!</v>
      </c>
      <c r="IC80" t="e">
        <f>AND(Insects!H103,"AAAAAG2P++w=")</f>
        <v>#VALUE!</v>
      </c>
      <c r="ID80" t="e">
        <f>AND(Insects!I103,"AAAAAG2P++0=")</f>
        <v>#VALUE!</v>
      </c>
      <c r="IE80" t="e">
        <f>AND(Insects!J103,"AAAAAG2P++4=")</f>
        <v>#VALUE!</v>
      </c>
      <c r="IF80" t="e">
        <f>AND(Insects!K103,"AAAAAG2P++8=")</f>
        <v>#VALUE!</v>
      </c>
      <c r="IG80" t="e">
        <f>AND(Insects!L103,"AAAAAG2P+/A=")</f>
        <v>#VALUE!</v>
      </c>
      <c r="IH80" t="e">
        <f>AND(Insects!M103,"AAAAAG2P+/E=")</f>
        <v>#VALUE!</v>
      </c>
      <c r="II80" t="e">
        <f>AND(Insects!N103,"AAAAAG2P+/I=")</f>
        <v>#VALUE!</v>
      </c>
      <c r="IJ80" t="e">
        <f>AND(Insects!O103,"AAAAAG2P+/M=")</f>
        <v>#VALUE!</v>
      </c>
      <c r="IK80" t="e">
        <f>AND(Insects!P103,"AAAAAG2P+/Q=")</f>
        <v>#VALUE!</v>
      </c>
      <c r="IL80">
        <f>IF(Insects!104:104,"AAAAAG2P+/U=",0)</f>
        <v>0</v>
      </c>
      <c r="IM80" t="e">
        <f>AND(Insects!A104,"AAAAAG2P+/Y=")</f>
        <v>#VALUE!</v>
      </c>
      <c r="IN80" t="e">
        <f>AND(Insects!B104,"AAAAAG2P+/c=")</f>
        <v>#VALUE!</v>
      </c>
      <c r="IO80" t="e">
        <f>AND(Insects!C104,"AAAAAG2P+/g=")</f>
        <v>#VALUE!</v>
      </c>
      <c r="IP80" t="e">
        <f>AND(Insects!D104,"AAAAAG2P+/k=")</f>
        <v>#VALUE!</v>
      </c>
      <c r="IQ80" t="e">
        <f>AND(Insects!E104,"AAAAAG2P+/o=")</f>
        <v>#VALUE!</v>
      </c>
      <c r="IR80" t="e">
        <f>AND(Insects!F104,"AAAAAG2P+/s=")</f>
        <v>#VALUE!</v>
      </c>
      <c r="IS80" t="e">
        <f>AND(Insects!G104,"AAAAAG2P+/w=")</f>
        <v>#VALUE!</v>
      </c>
      <c r="IT80" t="e">
        <f>AND(Insects!H104,"AAAAAG2P+/0=")</f>
        <v>#VALUE!</v>
      </c>
      <c r="IU80" t="e">
        <f>AND(Insects!I104,"AAAAAG2P+/4=")</f>
        <v>#VALUE!</v>
      </c>
      <c r="IV80" t="e">
        <f>AND(Insects!J104,"AAAAAG2P+/8=")</f>
        <v>#VALUE!</v>
      </c>
    </row>
    <row r="81" spans="1:256">
      <c r="A81" t="e">
        <f>AND(Insects!K104,"AAAAAD+H+gA=")</f>
        <v>#VALUE!</v>
      </c>
      <c r="B81" t="e">
        <f>AND(Insects!L104,"AAAAAD+H+gE=")</f>
        <v>#VALUE!</v>
      </c>
      <c r="C81" t="e">
        <f>AND(Insects!M104,"AAAAAD+H+gI=")</f>
        <v>#VALUE!</v>
      </c>
      <c r="D81" t="e">
        <f>AND(Insects!N104,"AAAAAD+H+gM=")</f>
        <v>#VALUE!</v>
      </c>
      <c r="E81" t="e">
        <f>AND(Insects!O104,"AAAAAD+H+gQ=")</f>
        <v>#VALUE!</v>
      </c>
      <c r="F81" t="e">
        <f>AND(Insects!P104,"AAAAAD+H+gU=")</f>
        <v>#VALUE!</v>
      </c>
      <c r="G81" t="e">
        <f>IF(Insects!105:105,"AAAAAD+H+gY=",0)</f>
        <v>#VALUE!</v>
      </c>
      <c r="H81" t="e">
        <f>AND(Insects!A105,"AAAAAD+H+gc=")</f>
        <v>#VALUE!</v>
      </c>
      <c r="I81" t="e">
        <f>AND(Insects!B105,"AAAAAD+H+gg=")</f>
        <v>#VALUE!</v>
      </c>
      <c r="J81" t="e">
        <f>AND(Insects!C105,"AAAAAD+H+gk=")</f>
        <v>#VALUE!</v>
      </c>
      <c r="K81" t="e">
        <f>AND(Insects!D105,"AAAAAD+H+go=")</f>
        <v>#VALUE!</v>
      </c>
      <c r="L81" t="e">
        <f>AND(Insects!E105,"AAAAAD+H+gs=")</f>
        <v>#VALUE!</v>
      </c>
      <c r="M81" t="e">
        <f>AND(Insects!F105,"AAAAAD+H+gw=")</f>
        <v>#VALUE!</v>
      </c>
      <c r="N81" t="e">
        <f>AND(Insects!G105,"AAAAAD+H+g0=")</f>
        <v>#VALUE!</v>
      </c>
      <c r="O81" t="e">
        <f>AND(Insects!H105,"AAAAAD+H+g4=")</f>
        <v>#VALUE!</v>
      </c>
      <c r="P81" t="e">
        <f>AND(Insects!I105,"AAAAAD+H+g8=")</f>
        <v>#VALUE!</v>
      </c>
      <c r="Q81" t="e">
        <f>AND(Insects!J105,"AAAAAD+H+hA=")</f>
        <v>#VALUE!</v>
      </c>
      <c r="R81" t="e">
        <f>AND(Insects!K105,"AAAAAD+H+hE=")</f>
        <v>#VALUE!</v>
      </c>
      <c r="S81" t="e">
        <f>AND(Insects!L105,"AAAAAD+H+hI=")</f>
        <v>#VALUE!</v>
      </c>
      <c r="T81" t="e">
        <f>AND(Insects!M105,"AAAAAD+H+hM=")</f>
        <v>#VALUE!</v>
      </c>
      <c r="U81" t="e">
        <f>AND(Insects!N105,"AAAAAD+H+hQ=")</f>
        <v>#VALUE!</v>
      </c>
      <c r="V81" t="e">
        <f>AND(Insects!O105,"AAAAAD+H+hU=")</f>
        <v>#VALUE!</v>
      </c>
      <c r="W81" t="e">
        <f>AND(Insects!P105,"AAAAAD+H+hY=")</f>
        <v>#VALUE!</v>
      </c>
      <c r="X81">
        <f>IF(Insects!106:106,"AAAAAD+H+hc=",0)</f>
        <v>0</v>
      </c>
      <c r="Y81" t="e">
        <f>AND(Insects!A106,"AAAAAD+H+hg=")</f>
        <v>#VALUE!</v>
      </c>
      <c r="Z81" t="e">
        <f>AND(Insects!B106,"AAAAAD+H+hk=")</f>
        <v>#VALUE!</v>
      </c>
      <c r="AA81" t="e">
        <f>AND(Insects!C106,"AAAAAD+H+ho=")</f>
        <v>#VALUE!</v>
      </c>
      <c r="AB81" t="e">
        <f>AND(Insects!D106,"AAAAAD+H+hs=")</f>
        <v>#VALUE!</v>
      </c>
      <c r="AC81" t="e">
        <f>AND(Insects!E106,"AAAAAD+H+hw=")</f>
        <v>#VALUE!</v>
      </c>
      <c r="AD81" t="e">
        <f>AND(Insects!F106,"AAAAAD+H+h0=")</f>
        <v>#VALUE!</v>
      </c>
      <c r="AE81" t="e">
        <f>AND(Insects!G106,"AAAAAD+H+h4=")</f>
        <v>#VALUE!</v>
      </c>
      <c r="AF81" t="e">
        <f>AND(Insects!H106,"AAAAAD+H+h8=")</f>
        <v>#VALUE!</v>
      </c>
      <c r="AG81" t="e">
        <f>AND(Insects!I106,"AAAAAD+H+iA=")</f>
        <v>#VALUE!</v>
      </c>
      <c r="AH81" t="e">
        <f>AND(Insects!J106,"AAAAAD+H+iE=")</f>
        <v>#VALUE!</v>
      </c>
      <c r="AI81" t="e">
        <f>AND(Insects!K106,"AAAAAD+H+iI=")</f>
        <v>#VALUE!</v>
      </c>
      <c r="AJ81" t="e">
        <f>AND(Insects!L106,"AAAAAD+H+iM=")</f>
        <v>#VALUE!</v>
      </c>
      <c r="AK81" t="e">
        <f>AND(Insects!M106,"AAAAAD+H+iQ=")</f>
        <v>#VALUE!</v>
      </c>
      <c r="AL81" t="e">
        <f>AND(Insects!N106,"AAAAAD+H+iU=")</f>
        <v>#VALUE!</v>
      </c>
      <c r="AM81" t="e">
        <f>AND(Insects!O106,"AAAAAD+H+iY=")</f>
        <v>#VALUE!</v>
      </c>
      <c r="AN81" t="e">
        <f>AND(Insects!P106,"AAAAAD+H+ic=")</f>
        <v>#VALUE!</v>
      </c>
      <c r="AO81">
        <f>IF(Insects!107:107,"AAAAAD+H+ig=",0)</f>
        <v>0</v>
      </c>
      <c r="AP81" t="e">
        <f>AND(Insects!A107,"AAAAAD+H+ik=")</f>
        <v>#VALUE!</v>
      </c>
      <c r="AQ81" t="e">
        <f>AND(Insects!B107,"AAAAAD+H+io=")</f>
        <v>#VALUE!</v>
      </c>
      <c r="AR81" t="e">
        <f>AND(Insects!C107,"AAAAAD+H+is=")</f>
        <v>#VALUE!</v>
      </c>
      <c r="AS81" t="e">
        <f>AND(Insects!D107,"AAAAAD+H+iw=")</f>
        <v>#VALUE!</v>
      </c>
      <c r="AT81" t="e">
        <f>AND(Insects!E107,"AAAAAD+H+i0=")</f>
        <v>#VALUE!</v>
      </c>
      <c r="AU81" t="e">
        <f>AND(Insects!F107,"AAAAAD+H+i4=")</f>
        <v>#VALUE!</v>
      </c>
      <c r="AV81" t="e">
        <f>AND(Insects!G107,"AAAAAD+H+i8=")</f>
        <v>#VALUE!</v>
      </c>
      <c r="AW81" t="e">
        <f>AND(Insects!H107,"AAAAAD+H+jA=")</f>
        <v>#VALUE!</v>
      </c>
      <c r="AX81" t="e">
        <f>AND(Insects!I107,"AAAAAD+H+jE=")</f>
        <v>#VALUE!</v>
      </c>
      <c r="AY81" t="e">
        <f>AND(Insects!J107,"AAAAAD+H+jI=")</f>
        <v>#VALUE!</v>
      </c>
      <c r="AZ81" t="e">
        <f>AND(Insects!K107,"AAAAAD+H+jM=")</f>
        <v>#VALUE!</v>
      </c>
      <c r="BA81" t="e">
        <f>AND(Insects!L107,"AAAAAD+H+jQ=")</f>
        <v>#VALUE!</v>
      </c>
      <c r="BB81" t="e">
        <f>AND(Insects!M107,"AAAAAD+H+jU=")</f>
        <v>#VALUE!</v>
      </c>
      <c r="BC81" t="e">
        <f>AND(Insects!N107,"AAAAAD+H+jY=")</f>
        <v>#VALUE!</v>
      </c>
      <c r="BD81" t="e">
        <f>AND(Insects!O107,"AAAAAD+H+jc=")</f>
        <v>#VALUE!</v>
      </c>
      <c r="BE81" t="e">
        <f>AND(Insects!P107,"AAAAAD+H+jg=")</f>
        <v>#VALUE!</v>
      </c>
      <c r="BF81">
        <f>IF(Insects!108:108,"AAAAAD+H+jk=",0)</f>
        <v>0</v>
      </c>
      <c r="BG81" t="e">
        <f>AND(Insects!A108,"AAAAAD+H+jo=")</f>
        <v>#VALUE!</v>
      </c>
      <c r="BH81" t="e">
        <f>AND(Insects!B108,"AAAAAD+H+js=")</f>
        <v>#VALUE!</v>
      </c>
      <c r="BI81" t="e">
        <f>AND(Insects!C108,"AAAAAD+H+jw=")</f>
        <v>#VALUE!</v>
      </c>
      <c r="BJ81" t="e">
        <f>AND(Insects!D108,"AAAAAD+H+j0=")</f>
        <v>#VALUE!</v>
      </c>
      <c r="BK81" t="e">
        <f>AND(Insects!E108,"AAAAAD+H+j4=")</f>
        <v>#VALUE!</v>
      </c>
      <c r="BL81" t="e">
        <f>AND(Insects!F108,"AAAAAD+H+j8=")</f>
        <v>#VALUE!</v>
      </c>
      <c r="BM81" t="e">
        <f>AND(Insects!G108,"AAAAAD+H+kA=")</f>
        <v>#VALUE!</v>
      </c>
      <c r="BN81" t="e">
        <f>AND(Insects!H108,"AAAAAD+H+kE=")</f>
        <v>#VALUE!</v>
      </c>
      <c r="BO81" t="e">
        <f>AND(Insects!I108,"AAAAAD+H+kI=")</f>
        <v>#VALUE!</v>
      </c>
      <c r="BP81" t="e">
        <f>AND(Insects!J108,"AAAAAD+H+kM=")</f>
        <v>#VALUE!</v>
      </c>
      <c r="BQ81" t="e">
        <f>AND(Insects!K108,"AAAAAD+H+kQ=")</f>
        <v>#VALUE!</v>
      </c>
      <c r="BR81" t="e">
        <f>AND(Insects!L108,"AAAAAD+H+kU=")</f>
        <v>#VALUE!</v>
      </c>
      <c r="BS81" t="e">
        <f>AND(Insects!M108,"AAAAAD+H+kY=")</f>
        <v>#VALUE!</v>
      </c>
      <c r="BT81" t="e">
        <f>AND(Insects!N108,"AAAAAD+H+kc=")</f>
        <v>#VALUE!</v>
      </c>
      <c r="BU81" t="e">
        <f>AND(Insects!O108,"AAAAAD+H+kg=")</f>
        <v>#VALUE!</v>
      </c>
      <c r="BV81" t="e">
        <f>AND(Insects!P108,"AAAAAD+H+kk=")</f>
        <v>#VALUE!</v>
      </c>
      <c r="BW81">
        <f>IF(Insects!109:109,"AAAAAD+H+ko=",0)</f>
        <v>0</v>
      </c>
      <c r="BX81" t="e">
        <f>AND(Insects!A109,"AAAAAD+H+ks=")</f>
        <v>#VALUE!</v>
      </c>
      <c r="BY81" t="e">
        <f>AND(Insects!B109,"AAAAAD+H+kw=")</f>
        <v>#VALUE!</v>
      </c>
      <c r="BZ81" t="e">
        <f>AND(Insects!C109,"AAAAAD+H+k0=")</f>
        <v>#VALUE!</v>
      </c>
      <c r="CA81" t="e">
        <f>AND(Insects!D109,"AAAAAD+H+k4=")</f>
        <v>#VALUE!</v>
      </c>
      <c r="CB81" t="e">
        <f>AND(Insects!E109,"AAAAAD+H+k8=")</f>
        <v>#VALUE!</v>
      </c>
      <c r="CC81" t="e">
        <f>AND(Insects!F109,"AAAAAD+H+lA=")</f>
        <v>#VALUE!</v>
      </c>
      <c r="CD81" t="e">
        <f>AND(Insects!G109,"AAAAAD+H+lE=")</f>
        <v>#VALUE!</v>
      </c>
      <c r="CE81" t="e">
        <f>AND(Insects!H109,"AAAAAD+H+lI=")</f>
        <v>#VALUE!</v>
      </c>
      <c r="CF81" t="e">
        <f>AND(Insects!I109,"AAAAAD+H+lM=")</f>
        <v>#VALUE!</v>
      </c>
      <c r="CG81" t="e">
        <f>AND(Insects!J109,"AAAAAD+H+lQ=")</f>
        <v>#VALUE!</v>
      </c>
      <c r="CH81" t="e">
        <f>AND(Insects!K109,"AAAAAD+H+lU=")</f>
        <v>#VALUE!</v>
      </c>
      <c r="CI81" t="e">
        <f>AND(Insects!L109,"AAAAAD+H+lY=")</f>
        <v>#VALUE!</v>
      </c>
      <c r="CJ81" t="e">
        <f>AND(Insects!M109,"AAAAAD+H+lc=")</f>
        <v>#VALUE!</v>
      </c>
      <c r="CK81" t="e">
        <f>AND(Insects!N109,"AAAAAD+H+lg=")</f>
        <v>#VALUE!</v>
      </c>
      <c r="CL81" t="e">
        <f>AND(Insects!O109,"AAAAAD+H+lk=")</f>
        <v>#VALUE!</v>
      </c>
      <c r="CM81" t="e">
        <f>AND(Insects!P109,"AAAAAD+H+lo=")</f>
        <v>#VALUE!</v>
      </c>
      <c r="CN81">
        <f>IF(Insects!110:110,"AAAAAD+H+ls=",0)</f>
        <v>0</v>
      </c>
      <c r="CO81" t="e">
        <f>AND(Insects!A110,"AAAAAD+H+lw=")</f>
        <v>#VALUE!</v>
      </c>
      <c r="CP81" t="e">
        <f>AND(Insects!B110,"AAAAAD+H+l0=")</f>
        <v>#VALUE!</v>
      </c>
      <c r="CQ81" t="e">
        <f>AND(Insects!C110,"AAAAAD+H+l4=")</f>
        <v>#VALUE!</v>
      </c>
      <c r="CR81" t="e">
        <f>AND(Insects!D110,"AAAAAD+H+l8=")</f>
        <v>#VALUE!</v>
      </c>
      <c r="CS81" t="e">
        <f>AND(Insects!E110,"AAAAAD+H+mA=")</f>
        <v>#VALUE!</v>
      </c>
      <c r="CT81" t="e">
        <f>AND(Insects!F110,"AAAAAD+H+mE=")</f>
        <v>#VALUE!</v>
      </c>
      <c r="CU81" t="e">
        <f>AND(Insects!G110,"AAAAAD+H+mI=")</f>
        <v>#VALUE!</v>
      </c>
      <c r="CV81" t="e">
        <f>AND(Insects!H110,"AAAAAD+H+mM=")</f>
        <v>#VALUE!</v>
      </c>
      <c r="CW81" t="e">
        <f>AND(Insects!I110,"AAAAAD+H+mQ=")</f>
        <v>#VALUE!</v>
      </c>
      <c r="CX81" t="e">
        <f>AND(Insects!J110,"AAAAAD+H+mU=")</f>
        <v>#VALUE!</v>
      </c>
      <c r="CY81" t="e">
        <f>AND(Insects!K110,"AAAAAD+H+mY=")</f>
        <v>#VALUE!</v>
      </c>
      <c r="CZ81" t="e">
        <f>AND(Insects!L110,"AAAAAD+H+mc=")</f>
        <v>#VALUE!</v>
      </c>
      <c r="DA81" t="e">
        <f>AND(Insects!M110,"AAAAAD+H+mg=")</f>
        <v>#VALUE!</v>
      </c>
      <c r="DB81" t="e">
        <f>AND(Insects!N110,"AAAAAD+H+mk=")</f>
        <v>#VALUE!</v>
      </c>
      <c r="DC81" t="e">
        <f>AND(Insects!O110,"AAAAAD+H+mo=")</f>
        <v>#VALUE!</v>
      </c>
      <c r="DD81" t="e">
        <f>AND(Insects!P110,"AAAAAD+H+ms=")</f>
        <v>#VALUE!</v>
      </c>
      <c r="DE81">
        <f>IF(Insects!111:111,"AAAAAD+H+mw=",0)</f>
        <v>0</v>
      </c>
      <c r="DF81" t="e">
        <f>AND(Insects!A111,"AAAAAD+H+m0=")</f>
        <v>#VALUE!</v>
      </c>
      <c r="DG81" t="e">
        <f>AND(Insects!B111,"AAAAAD+H+m4=")</f>
        <v>#VALUE!</v>
      </c>
      <c r="DH81" t="e">
        <f>AND(Insects!C111,"AAAAAD+H+m8=")</f>
        <v>#VALUE!</v>
      </c>
      <c r="DI81" t="e">
        <f>AND(Insects!D111,"AAAAAD+H+nA=")</f>
        <v>#VALUE!</v>
      </c>
      <c r="DJ81" t="e">
        <f>AND(Insects!E111,"AAAAAD+H+nE=")</f>
        <v>#VALUE!</v>
      </c>
      <c r="DK81" t="e">
        <f>AND(Insects!F111,"AAAAAD+H+nI=")</f>
        <v>#VALUE!</v>
      </c>
      <c r="DL81" t="e">
        <f>AND(Insects!G111,"AAAAAD+H+nM=")</f>
        <v>#VALUE!</v>
      </c>
      <c r="DM81" t="e">
        <f>AND(Insects!H111,"AAAAAD+H+nQ=")</f>
        <v>#VALUE!</v>
      </c>
      <c r="DN81" t="e">
        <f>AND(Insects!I111,"AAAAAD+H+nU=")</f>
        <v>#VALUE!</v>
      </c>
      <c r="DO81" t="e">
        <f>AND(Insects!J111,"AAAAAD+H+nY=")</f>
        <v>#VALUE!</v>
      </c>
      <c r="DP81" t="e">
        <f>AND(Insects!K111,"AAAAAD+H+nc=")</f>
        <v>#VALUE!</v>
      </c>
      <c r="DQ81" t="e">
        <f>AND(Insects!L111,"AAAAAD+H+ng=")</f>
        <v>#VALUE!</v>
      </c>
      <c r="DR81" t="e">
        <f>AND(Insects!M111,"AAAAAD+H+nk=")</f>
        <v>#VALUE!</v>
      </c>
      <c r="DS81" t="e">
        <f>AND(Insects!N111,"AAAAAD+H+no=")</f>
        <v>#VALUE!</v>
      </c>
      <c r="DT81" t="e">
        <f>AND(Insects!O111,"AAAAAD+H+ns=")</f>
        <v>#VALUE!</v>
      </c>
      <c r="DU81" t="e">
        <f>AND(Insects!P111,"AAAAAD+H+nw=")</f>
        <v>#VALUE!</v>
      </c>
      <c r="DV81">
        <f>IF(Insects!112:112,"AAAAAD+H+n0=",0)</f>
        <v>0</v>
      </c>
      <c r="DW81" t="e">
        <f>AND(Insects!A112,"AAAAAD+H+n4=")</f>
        <v>#VALUE!</v>
      </c>
      <c r="DX81" t="e">
        <f>AND(Insects!B112,"AAAAAD+H+n8=")</f>
        <v>#VALUE!</v>
      </c>
      <c r="DY81" t="e">
        <f>AND(Insects!C112,"AAAAAD+H+oA=")</f>
        <v>#VALUE!</v>
      </c>
      <c r="DZ81" t="e">
        <f>AND(Insects!D112,"AAAAAD+H+oE=")</f>
        <v>#VALUE!</v>
      </c>
      <c r="EA81" t="e">
        <f>AND(Insects!E112,"AAAAAD+H+oI=")</f>
        <v>#VALUE!</v>
      </c>
      <c r="EB81" t="e">
        <f>AND(Insects!F112,"AAAAAD+H+oM=")</f>
        <v>#VALUE!</v>
      </c>
      <c r="EC81" t="e">
        <f>AND(Insects!G112,"AAAAAD+H+oQ=")</f>
        <v>#VALUE!</v>
      </c>
      <c r="ED81" t="e">
        <f>AND(Insects!H112,"AAAAAD+H+oU=")</f>
        <v>#VALUE!</v>
      </c>
      <c r="EE81" t="e">
        <f>AND(Insects!I112,"AAAAAD+H+oY=")</f>
        <v>#VALUE!</v>
      </c>
      <c r="EF81" t="e">
        <f>AND(Insects!J112,"AAAAAD+H+oc=")</f>
        <v>#VALUE!</v>
      </c>
      <c r="EG81" t="e">
        <f>AND(Insects!K112,"AAAAAD+H+og=")</f>
        <v>#VALUE!</v>
      </c>
      <c r="EH81" t="e">
        <f>AND(Insects!L112,"AAAAAD+H+ok=")</f>
        <v>#VALUE!</v>
      </c>
      <c r="EI81" t="e">
        <f>AND(Insects!M112,"AAAAAD+H+oo=")</f>
        <v>#VALUE!</v>
      </c>
      <c r="EJ81" t="e">
        <f>AND(Insects!N112,"AAAAAD+H+os=")</f>
        <v>#VALUE!</v>
      </c>
      <c r="EK81" t="e">
        <f>AND(Insects!O112,"AAAAAD+H+ow=")</f>
        <v>#VALUE!</v>
      </c>
      <c r="EL81" t="e">
        <f>AND(Insects!P112,"AAAAAD+H+o0=")</f>
        <v>#VALUE!</v>
      </c>
      <c r="EM81">
        <f>IF(Insects!113:113,"AAAAAD+H+o4=",0)</f>
        <v>0</v>
      </c>
      <c r="EN81" t="e">
        <f>AND(Insects!A113,"AAAAAD+H+o8=")</f>
        <v>#VALUE!</v>
      </c>
      <c r="EO81" t="e">
        <f>AND(Insects!B113,"AAAAAD+H+pA=")</f>
        <v>#VALUE!</v>
      </c>
      <c r="EP81" t="e">
        <f>AND(Insects!C113,"AAAAAD+H+pE=")</f>
        <v>#VALUE!</v>
      </c>
      <c r="EQ81" t="e">
        <f>AND(Insects!D113,"AAAAAD+H+pI=")</f>
        <v>#VALUE!</v>
      </c>
      <c r="ER81" t="e">
        <f>AND(Insects!E113,"AAAAAD+H+pM=")</f>
        <v>#VALUE!</v>
      </c>
      <c r="ES81" t="e">
        <f>AND(Insects!F113,"AAAAAD+H+pQ=")</f>
        <v>#VALUE!</v>
      </c>
      <c r="ET81" t="e">
        <f>AND(Insects!G113,"AAAAAD+H+pU=")</f>
        <v>#VALUE!</v>
      </c>
      <c r="EU81" t="e">
        <f>AND(Insects!H113,"AAAAAD+H+pY=")</f>
        <v>#VALUE!</v>
      </c>
      <c r="EV81" t="e">
        <f>AND(Insects!I113,"AAAAAD+H+pc=")</f>
        <v>#VALUE!</v>
      </c>
      <c r="EW81" t="e">
        <f>AND(Insects!J113,"AAAAAD+H+pg=")</f>
        <v>#VALUE!</v>
      </c>
      <c r="EX81" t="e">
        <f>AND(Insects!K113,"AAAAAD+H+pk=")</f>
        <v>#VALUE!</v>
      </c>
      <c r="EY81" t="e">
        <f>AND(Insects!L113,"AAAAAD+H+po=")</f>
        <v>#VALUE!</v>
      </c>
      <c r="EZ81" t="e">
        <f>AND(Insects!M113,"AAAAAD+H+ps=")</f>
        <v>#VALUE!</v>
      </c>
      <c r="FA81" t="e">
        <f>AND(Insects!N113,"AAAAAD+H+pw=")</f>
        <v>#VALUE!</v>
      </c>
      <c r="FB81" t="e">
        <f>AND(Insects!O113,"AAAAAD+H+p0=")</f>
        <v>#VALUE!</v>
      </c>
      <c r="FC81" t="e">
        <f>AND(Insects!P113,"AAAAAD+H+p4=")</f>
        <v>#VALUE!</v>
      </c>
      <c r="FD81">
        <f>IF(Insects!114:114,"AAAAAD+H+p8=",0)</f>
        <v>0</v>
      </c>
      <c r="FE81" t="e">
        <f>AND(Insects!A114,"AAAAAD+H+qA=")</f>
        <v>#VALUE!</v>
      </c>
      <c r="FF81" t="e">
        <f>AND(Insects!B114,"AAAAAD+H+qE=")</f>
        <v>#VALUE!</v>
      </c>
      <c r="FG81" t="e">
        <f>AND(Insects!C114,"AAAAAD+H+qI=")</f>
        <v>#VALUE!</v>
      </c>
      <c r="FH81" t="e">
        <f>AND(Insects!D114,"AAAAAD+H+qM=")</f>
        <v>#VALUE!</v>
      </c>
      <c r="FI81" t="e">
        <f>AND(Insects!E114,"AAAAAD+H+qQ=")</f>
        <v>#VALUE!</v>
      </c>
      <c r="FJ81" t="e">
        <f>AND(Insects!F114,"AAAAAD+H+qU=")</f>
        <v>#VALUE!</v>
      </c>
      <c r="FK81" t="e">
        <f>AND(Insects!G114,"AAAAAD+H+qY=")</f>
        <v>#VALUE!</v>
      </c>
      <c r="FL81" t="e">
        <f>AND(Insects!H114,"AAAAAD+H+qc=")</f>
        <v>#VALUE!</v>
      </c>
      <c r="FM81" t="e">
        <f>AND(Insects!I114,"AAAAAD+H+qg=")</f>
        <v>#VALUE!</v>
      </c>
      <c r="FN81" t="e">
        <f>AND(Insects!J114,"AAAAAD+H+qk=")</f>
        <v>#VALUE!</v>
      </c>
      <c r="FO81" t="e">
        <f>AND(Insects!K114,"AAAAAD+H+qo=")</f>
        <v>#VALUE!</v>
      </c>
      <c r="FP81" t="e">
        <f>AND(Insects!L114,"AAAAAD+H+qs=")</f>
        <v>#VALUE!</v>
      </c>
      <c r="FQ81" t="e">
        <f>AND(Insects!M114,"AAAAAD+H+qw=")</f>
        <v>#VALUE!</v>
      </c>
      <c r="FR81" t="e">
        <f>AND(Insects!N114,"AAAAAD+H+q0=")</f>
        <v>#VALUE!</v>
      </c>
      <c r="FS81" t="e">
        <f>AND(Insects!O114,"AAAAAD+H+q4=")</f>
        <v>#VALUE!</v>
      </c>
      <c r="FT81" t="e">
        <f>AND(Insects!P114,"AAAAAD+H+q8=")</f>
        <v>#VALUE!</v>
      </c>
      <c r="FU81">
        <f>IF(Insects!115:115,"AAAAAD+H+rA=",0)</f>
        <v>0</v>
      </c>
      <c r="FV81" t="e">
        <f>AND(Insects!A115,"AAAAAD+H+rE=")</f>
        <v>#VALUE!</v>
      </c>
      <c r="FW81" t="e">
        <f>AND(Insects!B115,"AAAAAD+H+rI=")</f>
        <v>#VALUE!</v>
      </c>
      <c r="FX81" t="e">
        <f>AND(Insects!C115,"AAAAAD+H+rM=")</f>
        <v>#VALUE!</v>
      </c>
      <c r="FY81" t="e">
        <f>AND(Insects!D115,"AAAAAD+H+rQ=")</f>
        <v>#VALUE!</v>
      </c>
      <c r="FZ81" t="e">
        <f>AND(Insects!E115,"AAAAAD+H+rU=")</f>
        <v>#VALUE!</v>
      </c>
      <c r="GA81" t="e">
        <f>AND(Insects!F115,"AAAAAD+H+rY=")</f>
        <v>#VALUE!</v>
      </c>
      <c r="GB81" t="e">
        <f>AND(Insects!G115,"AAAAAD+H+rc=")</f>
        <v>#VALUE!</v>
      </c>
      <c r="GC81" t="e">
        <f>AND(Insects!H115,"AAAAAD+H+rg=")</f>
        <v>#VALUE!</v>
      </c>
      <c r="GD81" t="e">
        <f>AND(Insects!I115,"AAAAAD+H+rk=")</f>
        <v>#VALUE!</v>
      </c>
      <c r="GE81" t="e">
        <f>AND(Insects!J115,"AAAAAD+H+ro=")</f>
        <v>#VALUE!</v>
      </c>
      <c r="GF81" t="e">
        <f>AND(Insects!K115,"AAAAAD+H+rs=")</f>
        <v>#VALUE!</v>
      </c>
      <c r="GG81" t="e">
        <f>AND(Insects!L115,"AAAAAD+H+rw=")</f>
        <v>#VALUE!</v>
      </c>
      <c r="GH81" t="e">
        <f>AND(Insects!M115,"AAAAAD+H+r0=")</f>
        <v>#VALUE!</v>
      </c>
      <c r="GI81" t="e">
        <f>AND(Insects!N115,"AAAAAD+H+r4=")</f>
        <v>#VALUE!</v>
      </c>
      <c r="GJ81" t="e">
        <f>AND(Insects!O115,"AAAAAD+H+r8=")</f>
        <v>#VALUE!</v>
      </c>
      <c r="GK81" t="e">
        <f>AND(Insects!P115,"AAAAAD+H+sA=")</f>
        <v>#VALUE!</v>
      </c>
      <c r="GL81">
        <f>IF(Insects!116:116,"AAAAAD+H+sE=",0)</f>
        <v>0</v>
      </c>
      <c r="GM81" t="e">
        <f>AND(Insects!A116,"AAAAAD+H+sI=")</f>
        <v>#VALUE!</v>
      </c>
      <c r="GN81" t="e">
        <f>AND(Insects!B116,"AAAAAD+H+sM=")</f>
        <v>#VALUE!</v>
      </c>
      <c r="GO81" t="e">
        <f>AND(Insects!C116,"AAAAAD+H+sQ=")</f>
        <v>#VALUE!</v>
      </c>
      <c r="GP81" t="e">
        <f>AND(Insects!D116,"AAAAAD+H+sU=")</f>
        <v>#VALUE!</v>
      </c>
      <c r="GQ81" t="e">
        <f>AND(Insects!E116,"AAAAAD+H+sY=")</f>
        <v>#VALUE!</v>
      </c>
      <c r="GR81" t="e">
        <f>AND(Insects!F116,"AAAAAD+H+sc=")</f>
        <v>#VALUE!</v>
      </c>
      <c r="GS81" t="e">
        <f>AND(Insects!G116,"AAAAAD+H+sg=")</f>
        <v>#VALUE!</v>
      </c>
      <c r="GT81" t="e">
        <f>AND(Insects!H116,"AAAAAD+H+sk=")</f>
        <v>#VALUE!</v>
      </c>
      <c r="GU81" t="e">
        <f>AND(Insects!I116,"AAAAAD+H+so=")</f>
        <v>#VALUE!</v>
      </c>
      <c r="GV81" t="e">
        <f>AND(Insects!J116,"AAAAAD+H+ss=")</f>
        <v>#VALUE!</v>
      </c>
      <c r="GW81" t="e">
        <f>AND(Insects!K116,"AAAAAD+H+sw=")</f>
        <v>#VALUE!</v>
      </c>
      <c r="GX81" t="e">
        <f>AND(Insects!L116,"AAAAAD+H+s0=")</f>
        <v>#VALUE!</v>
      </c>
      <c r="GY81" t="e">
        <f>AND(Insects!M116,"AAAAAD+H+s4=")</f>
        <v>#VALUE!</v>
      </c>
      <c r="GZ81" t="e">
        <f>AND(Insects!N116,"AAAAAD+H+s8=")</f>
        <v>#VALUE!</v>
      </c>
      <c r="HA81" t="e">
        <f>AND(Insects!O116,"AAAAAD+H+tA=")</f>
        <v>#VALUE!</v>
      </c>
      <c r="HB81" t="e">
        <f>AND(Insects!P116,"AAAAAD+H+tE=")</f>
        <v>#VALUE!</v>
      </c>
      <c r="HC81">
        <f>IF(Insects!117:117,"AAAAAD+H+tI=",0)</f>
        <v>0</v>
      </c>
      <c r="HD81" t="e">
        <f>AND(Insects!A117,"AAAAAD+H+tM=")</f>
        <v>#VALUE!</v>
      </c>
      <c r="HE81" t="e">
        <f>AND(Insects!B117,"AAAAAD+H+tQ=")</f>
        <v>#VALUE!</v>
      </c>
      <c r="HF81" t="e">
        <f>AND(Insects!C117,"AAAAAD+H+tU=")</f>
        <v>#VALUE!</v>
      </c>
      <c r="HG81" t="e">
        <f>AND(Insects!D117,"AAAAAD+H+tY=")</f>
        <v>#VALUE!</v>
      </c>
      <c r="HH81" t="e">
        <f>AND(Insects!E117,"AAAAAD+H+tc=")</f>
        <v>#VALUE!</v>
      </c>
      <c r="HI81" t="e">
        <f>AND(Insects!F117,"AAAAAD+H+tg=")</f>
        <v>#VALUE!</v>
      </c>
      <c r="HJ81" t="e">
        <f>AND(Insects!G117,"AAAAAD+H+tk=")</f>
        <v>#VALUE!</v>
      </c>
      <c r="HK81" t="e">
        <f>AND(Insects!H117,"AAAAAD+H+to=")</f>
        <v>#VALUE!</v>
      </c>
      <c r="HL81" t="e">
        <f>AND(Insects!I117,"AAAAAD+H+ts=")</f>
        <v>#VALUE!</v>
      </c>
      <c r="HM81" t="e">
        <f>AND(Insects!J117,"AAAAAD+H+tw=")</f>
        <v>#VALUE!</v>
      </c>
      <c r="HN81" t="e">
        <f>AND(Insects!K117,"AAAAAD+H+t0=")</f>
        <v>#VALUE!</v>
      </c>
      <c r="HO81" t="e">
        <f>AND(Insects!L117,"AAAAAD+H+t4=")</f>
        <v>#VALUE!</v>
      </c>
      <c r="HP81" t="e">
        <f>AND(Insects!M117,"AAAAAD+H+t8=")</f>
        <v>#VALUE!</v>
      </c>
      <c r="HQ81" t="e">
        <f>AND(Insects!N117,"AAAAAD+H+uA=")</f>
        <v>#VALUE!</v>
      </c>
      <c r="HR81" t="e">
        <f>AND(Insects!O117,"AAAAAD+H+uE=")</f>
        <v>#VALUE!</v>
      </c>
      <c r="HS81" t="e">
        <f>AND(Insects!P117,"AAAAAD+H+uI=")</f>
        <v>#VALUE!</v>
      </c>
      <c r="HT81">
        <f>IF(Insects!118:118,"AAAAAD+H+uM=",0)</f>
        <v>0</v>
      </c>
      <c r="HU81" t="e">
        <f>AND(Insects!A118,"AAAAAD+H+uQ=")</f>
        <v>#VALUE!</v>
      </c>
      <c r="HV81" t="e">
        <f>AND(Insects!B118,"AAAAAD+H+uU=")</f>
        <v>#VALUE!</v>
      </c>
      <c r="HW81" t="e">
        <f>AND(Insects!C118,"AAAAAD+H+uY=")</f>
        <v>#VALUE!</v>
      </c>
      <c r="HX81" t="e">
        <f>AND(Insects!D118,"AAAAAD+H+uc=")</f>
        <v>#VALUE!</v>
      </c>
      <c r="HY81" t="e">
        <f>AND(Insects!E118,"AAAAAD+H+ug=")</f>
        <v>#VALUE!</v>
      </c>
      <c r="HZ81" t="e">
        <f>AND(Insects!F118,"AAAAAD+H+uk=")</f>
        <v>#VALUE!</v>
      </c>
      <c r="IA81" t="e">
        <f>AND(Insects!G118,"AAAAAD+H+uo=")</f>
        <v>#VALUE!</v>
      </c>
      <c r="IB81" t="e">
        <f>AND(Insects!H118,"AAAAAD+H+us=")</f>
        <v>#VALUE!</v>
      </c>
      <c r="IC81" t="e">
        <f>AND(Insects!I118,"AAAAAD+H+uw=")</f>
        <v>#VALUE!</v>
      </c>
      <c r="ID81" t="e">
        <f>AND(Insects!J118,"AAAAAD+H+u0=")</f>
        <v>#VALUE!</v>
      </c>
      <c r="IE81" t="e">
        <f>AND(Insects!K118,"AAAAAD+H+u4=")</f>
        <v>#VALUE!</v>
      </c>
      <c r="IF81" t="e">
        <f>AND(Insects!L118,"AAAAAD+H+u8=")</f>
        <v>#VALUE!</v>
      </c>
      <c r="IG81" t="e">
        <f>AND(Insects!M118,"AAAAAD+H+vA=")</f>
        <v>#VALUE!</v>
      </c>
      <c r="IH81" t="e">
        <f>AND(Insects!N118,"AAAAAD+H+vE=")</f>
        <v>#VALUE!</v>
      </c>
      <c r="II81" t="e">
        <f>AND(Insects!O118,"AAAAAD+H+vI=")</f>
        <v>#VALUE!</v>
      </c>
      <c r="IJ81" t="e">
        <f>AND(Insects!P118,"AAAAAD+H+vM=")</f>
        <v>#VALUE!</v>
      </c>
      <c r="IK81">
        <f>IF(Insects!119:119,"AAAAAD+H+vQ=",0)</f>
        <v>0</v>
      </c>
      <c r="IL81" t="e">
        <f>AND(Insects!A119,"AAAAAD+H+vU=")</f>
        <v>#VALUE!</v>
      </c>
      <c r="IM81" t="e">
        <f>AND(Insects!B119,"AAAAAD+H+vY=")</f>
        <v>#VALUE!</v>
      </c>
      <c r="IN81" t="e">
        <f>AND(Insects!C119,"AAAAAD+H+vc=")</f>
        <v>#VALUE!</v>
      </c>
      <c r="IO81" t="e">
        <f>AND(Insects!D119,"AAAAAD+H+vg=")</f>
        <v>#VALUE!</v>
      </c>
      <c r="IP81" t="e">
        <f>AND(Insects!E119,"AAAAAD+H+vk=")</f>
        <v>#VALUE!</v>
      </c>
      <c r="IQ81" t="e">
        <f>AND(Insects!F119,"AAAAAD+H+vo=")</f>
        <v>#VALUE!</v>
      </c>
      <c r="IR81" t="e">
        <f>AND(Insects!G119,"AAAAAD+H+vs=")</f>
        <v>#VALUE!</v>
      </c>
      <c r="IS81" t="e">
        <f>AND(Insects!H119,"AAAAAD+H+vw=")</f>
        <v>#VALUE!</v>
      </c>
      <c r="IT81" t="e">
        <f>AND(Insects!I119,"AAAAAD+H+v0=")</f>
        <v>#VALUE!</v>
      </c>
      <c r="IU81" t="e">
        <f>AND(Insects!J119,"AAAAAD+H+v4=")</f>
        <v>#VALUE!</v>
      </c>
      <c r="IV81" t="e">
        <f>AND(Insects!K119,"AAAAAD+H+v8=")</f>
        <v>#VALUE!</v>
      </c>
    </row>
    <row r="82" spans="1:256">
      <c r="A82" t="e">
        <f>AND(Insects!L119,"AAAAAD9fLwA=")</f>
        <v>#VALUE!</v>
      </c>
      <c r="B82" t="e">
        <f>AND(Insects!M119,"AAAAAD9fLwE=")</f>
        <v>#VALUE!</v>
      </c>
      <c r="C82" t="e">
        <f>AND(Insects!N119,"AAAAAD9fLwI=")</f>
        <v>#VALUE!</v>
      </c>
      <c r="D82" t="e">
        <f>AND(Insects!O119,"AAAAAD9fLwM=")</f>
        <v>#VALUE!</v>
      </c>
      <c r="E82" t="e">
        <f>AND(Insects!P119,"AAAAAD9fLwQ=")</f>
        <v>#VALUE!</v>
      </c>
      <c r="F82" t="e">
        <f>IF(Insects!120:120,"AAAAAD9fLwU=",0)</f>
        <v>#VALUE!</v>
      </c>
      <c r="G82" t="e">
        <f>AND(Insects!A120,"AAAAAD9fLwY=")</f>
        <v>#VALUE!</v>
      </c>
      <c r="H82" t="e">
        <f>AND(Insects!B120,"AAAAAD9fLwc=")</f>
        <v>#VALUE!</v>
      </c>
      <c r="I82" t="e">
        <f>AND(Insects!C120,"AAAAAD9fLwg=")</f>
        <v>#VALUE!</v>
      </c>
      <c r="J82" t="e">
        <f>AND(Insects!D120,"AAAAAD9fLwk=")</f>
        <v>#VALUE!</v>
      </c>
      <c r="K82" t="e">
        <f>AND(Insects!E120,"AAAAAD9fLwo=")</f>
        <v>#VALUE!</v>
      </c>
      <c r="L82" t="e">
        <f>AND(Insects!F120,"AAAAAD9fLws=")</f>
        <v>#VALUE!</v>
      </c>
      <c r="M82" t="e">
        <f>AND(Insects!G120,"AAAAAD9fLww=")</f>
        <v>#VALUE!</v>
      </c>
      <c r="N82" t="e">
        <f>AND(Insects!H120,"AAAAAD9fLw0=")</f>
        <v>#VALUE!</v>
      </c>
      <c r="O82" t="e">
        <f>AND(Insects!I120,"AAAAAD9fLw4=")</f>
        <v>#VALUE!</v>
      </c>
      <c r="P82" t="e">
        <f>AND(Insects!J120,"AAAAAD9fLw8=")</f>
        <v>#VALUE!</v>
      </c>
      <c r="Q82" t="e">
        <f>AND(Insects!K120,"AAAAAD9fLxA=")</f>
        <v>#VALUE!</v>
      </c>
      <c r="R82" t="e">
        <f>AND(Insects!L120,"AAAAAD9fLxE=")</f>
        <v>#VALUE!</v>
      </c>
      <c r="S82" t="e">
        <f>AND(Insects!M120,"AAAAAD9fLxI=")</f>
        <v>#VALUE!</v>
      </c>
      <c r="T82" t="e">
        <f>AND(Insects!N120,"AAAAAD9fLxM=")</f>
        <v>#VALUE!</v>
      </c>
      <c r="U82" t="e">
        <f>AND(Insects!O120,"AAAAAD9fLxQ=")</f>
        <v>#VALUE!</v>
      </c>
      <c r="V82" t="e">
        <f>AND(Insects!P120,"AAAAAD9fLxU=")</f>
        <v>#VALUE!</v>
      </c>
      <c r="W82">
        <f>IF(Insects!121:121,"AAAAAD9fLxY=",0)</f>
        <v>0</v>
      </c>
      <c r="X82" t="e">
        <f>AND(Insects!A121,"AAAAAD9fLxc=")</f>
        <v>#VALUE!</v>
      </c>
      <c r="Y82" t="e">
        <f>AND(Insects!B121,"AAAAAD9fLxg=")</f>
        <v>#VALUE!</v>
      </c>
      <c r="Z82" t="e">
        <f>AND(Insects!C121,"AAAAAD9fLxk=")</f>
        <v>#VALUE!</v>
      </c>
      <c r="AA82" t="e">
        <f>AND(Insects!D121,"AAAAAD9fLxo=")</f>
        <v>#VALUE!</v>
      </c>
      <c r="AB82" t="e">
        <f>AND(Insects!E121,"AAAAAD9fLxs=")</f>
        <v>#VALUE!</v>
      </c>
      <c r="AC82" t="e">
        <f>AND(Insects!F121,"AAAAAD9fLxw=")</f>
        <v>#VALUE!</v>
      </c>
      <c r="AD82" t="e">
        <f>AND(Insects!G121,"AAAAAD9fLx0=")</f>
        <v>#VALUE!</v>
      </c>
      <c r="AE82" t="e">
        <f>AND(Insects!H121,"AAAAAD9fLx4=")</f>
        <v>#VALUE!</v>
      </c>
      <c r="AF82" t="e">
        <f>AND(Insects!I121,"AAAAAD9fLx8=")</f>
        <v>#VALUE!</v>
      </c>
      <c r="AG82" t="e">
        <f>AND(Insects!J121,"AAAAAD9fLyA=")</f>
        <v>#VALUE!</v>
      </c>
      <c r="AH82" t="e">
        <f>AND(Insects!K121,"AAAAAD9fLyE=")</f>
        <v>#VALUE!</v>
      </c>
      <c r="AI82" t="e">
        <f>AND(Insects!L121,"AAAAAD9fLyI=")</f>
        <v>#VALUE!</v>
      </c>
      <c r="AJ82" t="e">
        <f>AND(Insects!M121,"AAAAAD9fLyM=")</f>
        <v>#VALUE!</v>
      </c>
      <c r="AK82" t="e">
        <f>AND(Insects!N121,"AAAAAD9fLyQ=")</f>
        <v>#VALUE!</v>
      </c>
      <c r="AL82" t="e">
        <f>AND(Insects!O121,"AAAAAD9fLyU=")</f>
        <v>#VALUE!</v>
      </c>
      <c r="AM82" t="e">
        <f>AND(Insects!P121,"AAAAAD9fLyY=")</f>
        <v>#VALUE!</v>
      </c>
      <c r="AN82">
        <f>IF(Insects!122:122,"AAAAAD9fLyc=",0)</f>
        <v>0</v>
      </c>
      <c r="AO82" t="e">
        <f>AND(Insects!A122,"AAAAAD9fLyg=")</f>
        <v>#VALUE!</v>
      </c>
      <c r="AP82" t="e">
        <f>AND(Insects!B122,"AAAAAD9fLyk=")</f>
        <v>#VALUE!</v>
      </c>
      <c r="AQ82" t="e">
        <f>AND(Insects!C122,"AAAAAD9fLyo=")</f>
        <v>#VALUE!</v>
      </c>
      <c r="AR82" t="e">
        <f>AND(Insects!D122,"AAAAAD9fLys=")</f>
        <v>#VALUE!</v>
      </c>
      <c r="AS82" t="e">
        <f>AND(Insects!E122,"AAAAAD9fLyw=")</f>
        <v>#VALUE!</v>
      </c>
      <c r="AT82" t="e">
        <f>AND(Insects!F122,"AAAAAD9fLy0=")</f>
        <v>#VALUE!</v>
      </c>
      <c r="AU82" t="e">
        <f>AND(Insects!G122,"AAAAAD9fLy4=")</f>
        <v>#VALUE!</v>
      </c>
      <c r="AV82" t="e">
        <f>AND(Insects!H122,"AAAAAD9fLy8=")</f>
        <v>#VALUE!</v>
      </c>
      <c r="AW82" t="e">
        <f>AND(Insects!I122,"AAAAAD9fLzA=")</f>
        <v>#VALUE!</v>
      </c>
      <c r="AX82" t="e">
        <f>AND(Insects!J122,"AAAAAD9fLzE=")</f>
        <v>#VALUE!</v>
      </c>
      <c r="AY82" t="e">
        <f>AND(Insects!K122,"AAAAAD9fLzI=")</f>
        <v>#VALUE!</v>
      </c>
      <c r="AZ82" t="e">
        <f>AND(Insects!L122,"AAAAAD9fLzM=")</f>
        <v>#VALUE!</v>
      </c>
      <c r="BA82" t="e">
        <f>AND(Insects!M122,"AAAAAD9fLzQ=")</f>
        <v>#VALUE!</v>
      </c>
      <c r="BB82" t="e">
        <f>AND(Insects!N122,"AAAAAD9fLzU=")</f>
        <v>#VALUE!</v>
      </c>
      <c r="BC82" t="e">
        <f>AND(Insects!O122,"AAAAAD9fLzY=")</f>
        <v>#VALUE!</v>
      </c>
      <c r="BD82" t="e">
        <f>AND(Insects!P122,"AAAAAD9fLzc=")</f>
        <v>#VALUE!</v>
      </c>
      <c r="BE82">
        <f>IF(Insects!123:123,"AAAAAD9fLzg=",0)</f>
        <v>0</v>
      </c>
      <c r="BF82" t="e">
        <f>AND(Insects!A123,"AAAAAD9fLzk=")</f>
        <v>#VALUE!</v>
      </c>
      <c r="BG82" t="e">
        <f>AND(Insects!B123,"AAAAAD9fLzo=")</f>
        <v>#VALUE!</v>
      </c>
      <c r="BH82" t="e">
        <f>AND(Insects!C123,"AAAAAD9fLzs=")</f>
        <v>#VALUE!</v>
      </c>
      <c r="BI82" t="e">
        <f>AND(Insects!D123,"AAAAAD9fLzw=")</f>
        <v>#VALUE!</v>
      </c>
      <c r="BJ82" t="e">
        <f>AND(Insects!E123,"AAAAAD9fLz0=")</f>
        <v>#VALUE!</v>
      </c>
      <c r="BK82" t="e">
        <f>AND(Insects!F123,"AAAAAD9fLz4=")</f>
        <v>#VALUE!</v>
      </c>
      <c r="BL82" t="e">
        <f>AND(Insects!G123,"AAAAAD9fLz8=")</f>
        <v>#VALUE!</v>
      </c>
      <c r="BM82" t="e">
        <f>AND(Insects!H123,"AAAAAD9fL0A=")</f>
        <v>#VALUE!</v>
      </c>
      <c r="BN82" t="e">
        <f>AND(Insects!I123,"AAAAAD9fL0E=")</f>
        <v>#VALUE!</v>
      </c>
      <c r="BO82" t="e">
        <f>AND(Insects!J123,"AAAAAD9fL0I=")</f>
        <v>#VALUE!</v>
      </c>
      <c r="BP82" t="e">
        <f>AND(Insects!K123,"AAAAAD9fL0M=")</f>
        <v>#VALUE!</v>
      </c>
      <c r="BQ82" t="e">
        <f>AND(Insects!L123,"AAAAAD9fL0Q=")</f>
        <v>#VALUE!</v>
      </c>
      <c r="BR82" t="e">
        <f>AND(Insects!M123,"AAAAAD9fL0U=")</f>
        <v>#VALUE!</v>
      </c>
      <c r="BS82" t="e">
        <f>AND(Insects!N123,"AAAAAD9fL0Y=")</f>
        <v>#VALUE!</v>
      </c>
      <c r="BT82" t="e">
        <f>AND(Insects!O123,"AAAAAD9fL0c=")</f>
        <v>#VALUE!</v>
      </c>
      <c r="BU82" t="e">
        <f>AND(Insects!P123,"AAAAAD9fL0g=")</f>
        <v>#VALUE!</v>
      </c>
      <c r="BV82">
        <f>IF(Insects!124:124,"AAAAAD9fL0k=",0)</f>
        <v>0</v>
      </c>
      <c r="BW82" t="e">
        <f>AND(Insects!A124,"AAAAAD9fL0o=")</f>
        <v>#VALUE!</v>
      </c>
      <c r="BX82" t="e">
        <f>AND(Insects!B124,"AAAAAD9fL0s=")</f>
        <v>#VALUE!</v>
      </c>
      <c r="BY82" t="e">
        <f>AND(Insects!C124,"AAAAAD9fL0w=")</f>
        <v>#VALUE!</v>
      </c>
      <c r="BZ82" t="e">
        <f>AND(Insects!D124,"AAAAAD9fL00=")</f>
        <v>#VALUE!</v>
      </c>
      <c r="CA82" t="e">
        <f>AND(Insects!E124,"AAAAAD9fL04=")</f>
        <v>#VALUE!</v>
      </c>
      <c r="CB82" t="e">
        <f>AND(Insects!F124,"AAAAAD9fL08=")</f>
        <v>#VALUE!</v>
      </c>
      <c r="CC82" t="e">
        <f>AND(Insects!G124,"AAAAAD9fL1A=")</f>
        <v>#VALUE!</v>
      </c>
      <c r="CD82" t="e">
        <f>AND(Insects!H124,"AAAAAD9fL1E=")</f>
        <v>#VALUE!</v>
      </c>
      <c r="CE82" t="e">
        <f>AND(Insects!I124,"AAAAAD9fL1I=")</f>
        <v>#VALUE!</v>
      </c>
      <c r="CF82" t="e">
        <f>AND(Insects!J124,"AAAAAD9fL1M=")</f>
        <v>#VALUE!</v>
      </c>
      <c r="CG82" t="e">
        <f>AND(Insects!K124,"AAAAAD9fL1Q=")</f>
        <v>#VALUE!</v>
      </c>
      <c r="CH82" t="e">
        <f>AND(Insects!L124,"AAAAAD9fL1U=")</f>
        <v>#VALUE!</v>
      </c>
      <c r="CI82" t="e">
        <f>AND(Insects!M124,"AAAAAD9fL1Y=")</f>
        <v>#VALUE!</v>
      </c>
      <c r="CJ82" t="e">
        <f>AND(Insects!N124,"AAAAAD9fL1c=")</f>
        <v>#VALUE!</v>
      </c>
      <c r="CK82" t="e">
        <f>AND(Insects!O124,"AAAAAD9fL1g=")</f>
        <v>#VALUE!</v>
      </c>
      <c r="CL82" t="e">
        <f>AND(Insects!P124,"AAAAAD9fL1k=")</f>
        <v>#VALUE!</v>
      </c>
      <c r="CM82">
        <f>IF(Insects!125:125,"AAAAAD9fL1o=",0)</f>
        <v>0</v>
      </c>
      <c r="CN82" t="e">
        <f>AND(Insects!A125,"AAAAAD9fL1s=")</f>
        <v>#VALUE!</v>
      </c>
      <c r="CO82" t="e">
        <f>AND(Insects!B125,"AAAAAD9fL1w=")</f>
        <v>#VALUE!</v>
      </c>
      <c r="CP82" t="e">
        <f>AND(Insects!C125,"AAAAAD9fL10=")</f>
        <v>#VALUE!</v>
      </c>
      <c r="CQ82" t="e">
        <f>AND(Insects!D125,"AAAAAD9fL14=")</f>
        <v>#VALUE!</v>
      </c>
      <c r="CR82" t="e">
        <f>AND(Insects!E125,"AAAAAD9fL18=")</f>
        <v>#VALUE!</v>
      </c>
      <c r="CS82" t="e">
        <f>AND(Insects!F125,"AAAAAD9fL2A=")</f>
        <v>#VALUE!</v>
      </c>
      <c r="CT82" t="e">
        <f>AND(Insects!G125,"AAAAAD9fL2E=")</f>
        <v>#VALUE!</v>
      </c>
      <c r="CU82" t="e">
        <f>AND(Insects!H125,"AAAAAD9fL2I=")</f>
        <v>#VALUE!</v>
      </c>
      <c r="CV82" t="e">
        <f>AND(Insects!I125,"AAAAAD9fL2M=")</f>
        <v>#VALUE!</v>
      </c>
      <c r="CW82" t="e">
        <f>AND(Insects!J125,"AAAAAD9fL2Q=")</f>
        <v>#VALUE!</v>
      </c>
      <c r="CX82" t="e">
        <f>AND(Insects!K125,"AAAAAD9fL2U=")</f>
        <v>#VALUE!</v>
      </c>
      <c r="CY82" t="e">
        <f>AND(Insects!L125,"AAAAAD9fL2Y=")</f>
        <v>#VALUE!</v>
      </c>
      <c r="CZ82" t="e">
        <f>AND(Insects!M125,"AAAAAD9fL2c=")</f>
        <v>#VALUE!</v>
      </c>
      <c r="DA82" t="e">
        <f>AND(Insects!N125,"AAAAAD9fL2g=")</f>
        <v>#VALUE!</v>
      </c>
      <c r="DB82" t="e">
        <f>AND(Insects!O125,"AAAAAD9fL2k=")</f>
        <v>#VALUE!</v>
      </c>
      <c r="DC82" t="e">
        <f>AND(Insects!P125,"AAAAAD9fL2o=")</f>
        <v>#VALUE!</v>
      </c>
      <c r="DD82">
        <f>IF(Insects!126:126,"AAAAAD9fL2s=",0)</f>
        <v>0</v>
      </c>
      <c r="DE82" t="e">
        <f>AND(Insects!A126,"AAAAAD9fL2w=")</f>
        <v>#VALUE!</v>
      </c>
      <c r="DF82" t="e">
        <f>AND(Insects!B126,"AAAAAD9fL20=")</f>
        <v>#VALUE!</v>
      </c>
      <c r="DG82" t="e">
        <f>AND(Insects!C126,"AAAAAD9fL24=")</f>
        <v>#VALUE!</v>
      </c>
      <c r="DH82" t="e">
        <f>AND(Insects!D126,"AAAAAD9fL28=")</f>
        <v>#VALUE!</v>
      </c>
      <c r="DI82" t="e">
        <f>AND(Insects!E126,"AAAAAD9fL3A=")</f>
        <v>#VALUE!</v>
      </c>
      <c r="DJ82" t="e">
        <f>AND(Insects!F126,"AAAAAD9fL3E=")</f>
        <v>#VALUE!</v>
      </c>
      <c r="DK82" t="e">
        <f>AND(Insects!G126,"AAAAAD9fL3I=")</f>
        <v>#VALUE!</v>
      </c>
      <c r="DL82" t="e">
        <f>AND(Insects!H126,"AAAAAD9fL3M=")</f>
        <v>#VALUE!</v>
      </c>
      <c r="DM82" t="e">
        <f>AND(Insects!I126,"AAAAAD9fL3Q=")</f>
        <v>#VALUE!</v>
      </c>
      <c r="DN82" t="e">
        <f>AND(Insects!J126,"AAAAAD9fL3U=")</f>
        <v>#VALUE!</v>
      </c>
      <c r="DO82" t="e">
        <f>AND(Insects!K126,"AAAAAD9fL3Y=")</f>
        <v>#VALUE!</v>
      </c>
      <c r="DP82" t="e">
        <f>AND(Insects!L126,"AAAAAD9fL3c=")</f>
        <v>#VALUE!</v>
      </c>
      <c r="DQ82" t="e">
        <f>AND(Insects!M126,"AAAAAD9fL3g=")</f>
        <v>#VALUE!</v>
      </c>
      <c r="DR82" t="e">
        <f>AND(Insects!N126,"AAAAAD9fL3k=")</f>
        <v>#VALUE!</v>
      </c>
      <c r="DS82" t="e">
        <f>AND(Insects!O126,"AAAAAD9fL3o=")</f>
        <v>#VALUE!</v>
      </c>
      <c r="DT82" t="e">
        <f>AND(Insects!P126,"AAAAAD9fL3s=")</f>
        <v>#VALUE!</v>
      </c>
      <c r="DU82">
        <f>IF(Insects!127:127,"AAAAAD9fL3w=",0)</f>
        <v>0</v>
      </c>
      <c r="DV82" t="e">
        <f>AND(Insects!A127,"AAAAAD9fL30=")</f>
        <v>#VALUE!</v>
      </c>
      <c r="DW82" t="e">
        <f>AND(Insects!B127,"AAAAAD9fL34=")</f>
        <v>#VALUE!</v>
      </c>
      <c r="DX82" t="e">
        <f>AND(Insects!C127,"AAAAAD9fL38=")</f>
        <v>#VALUE!</v>
      </c>
      <c r="DY82" t="e">
        <f>AND(Insects!D127,"AAAAAD9fL4A=")</f>
        <v>#VALUE!</v>
      </c>
      <c r="DZ82" t="e">
        <f>AND(Insects!E127,"AAAAAD9fL4E=")</f>
        <v>#VALUE!</v>
      </c>
      <c r="EA82" t="e">
        <f>AND(Insects!F127,"AAAAAD9fL4I=")</f>
        <v>#VALUE!</v>
      </c>
      <c r="EB82" t="e">
        <f>AND(Insects!G127,"AAAAAD9fL4M=")</f>
        <v>#VALUE!</v>
      </c>
      <c r="EC82" t="e">
        <f>AND(Insects!H127,"AAAAAD9fL4Q=")</f>
        <v>#VALUE!</v>
      </c>
      <c r="ED82" t="e">
        <f>AND(Insects!I127,"AAAAAD9fL4U=")</f>
        <v>#VALUE!</v>
      </c>
      <c r="EE82" t="e">
        <f>AND(Insects!J127,"AAAAAD9fL4Y=")</f>
        <v>#VALUE!</v>
      </c>
      <c r="EF82" t="e">
        <f>AND(Insects!K127,"AAAAAD9fL4c=")</f>
        <v>#VALUE!</v>
      </c>
      <c r="EG82" t="e">
        <f>AND(Insects!L127,"AAAAAD9fL4g=")</f>
        <v>#VALUE!</v>
      </c>
      <c r="EH82" t="e">
        <f>AND(Insects!M127,"AAAAAD9fL4k=")</f>
        <v>#VALUE!</v>
      </c>
      <c r="EI82" t="e">
        <f>AND(Insects!N127,"AAAAAD9fL4o=")</f>
        <v>#VALUE!</v>
      </c>
      <c r="EJ82" t="e">
        <f>AND(Insects!O127,"AAAAAD9fL4s=")</f>
        <v>#VALUE!</v>
      </c>
      <c r="EK82" t="e">
        <f>AND(Insects!P127,"AAAAAD9fL4w=")</f>
        <v>#VALUE!</v>
      </c>
      <c r="EL82">
        <f>IF(Insects!128:128,"AAAAAD9fL40=",0)</f>
        <v>0</v>
      </c>
      <c r="EM82" t="e">
        <f>AND(Insects!A128,"AAAAAD9fL44=")</f>
        <v>#VALUE!</v>
      </c>
      <c r="EN82" t="e">
        <f>AND(Insects!B128,"AAAAAD9fL48=")</f>
        <v>#VALUE!</v>
      </c>
      <c r="EO82" t="e">
        <f>AND(Insects!C128,"AAAAAD9fL5A=")</f>
        <v>#VALUE!</v>
      </c>
      <c r="EP82" t="e">
        <f>AND(Insects!D128,"AAAAAD9fL5E=")</f>
        <v>#VALUE!</v>
      </c>
      <c r="EQ82" t="e">
        <f>AND(Insects!E128,"AAAAAD9fL5I=")</f>
        <v>#VALUE!</v>
      </c>
      <c r="ER82" t="e">
        <f>AND(Insects!F128,"AAAAAD9fL5M=")</f>
        <v>#VALUE!</v>
      </c>
      <c r="ES82" t="e">
        <f>AND(Insects!G128,"AAAAAD9fL5Q=")</f>
        <v>#VALUE!</v>
      </c>
      <c r="ET82" t="e">
        <f>AND(Insects!H128,"AAAAAD9fL5U=")</f>
        <v>#VALUE!</v>
      </c>
      <c r="EU82" t="e">
        <f>AND(Insects!I128,"AAAAAD9fL5Y=")</f>
        <v>#VALUE!</v>
      </c>
      <c r="EV82" t="e">
        <f>AND(Insects!J128,"AAAAAD9fL5c=")</f>
        <v>#VALUE!</v>
      </c>
      <c r="EW82" t="e">
        <f>AND(Insects!K128,"AAAAAD9fL5g=")</f>
        <v>#VALUE!</v>
      </c>
      <c r="EX82" t="e">
        <f>AND(Insects!L128,"AAAAAD9fL5k=")</f>
        <v>#VALUE!</v>
      </c>
      <c r="EY82" t="e">
        <f>AND(Insects!M128,"AAAAAD9fL5o=")</f>
        <v>#VALUE!</v>
      </c>
      <c r="EZ82" t="e">
        <f>AND(Insects!N128,"AAAAAD9fL5s=")</f>
        <v>#VALUE!</v>
      </c>
      <c r="FA82" t="e">
        <f>AND(Insects!O128,"AAAAAD9fL5w=")</f>
        <v>#VALUE!</v>
      </c>
      <c r="FB82" t="e">
        <f>AND(Insects!P128,"AAAAAD9fL50=")</f>
        <v>#VALUE!</v>
      </c>
      <c r="FC82">
        <f>IF(Insects!129:129,"AAAAAD9fL54=",0)</f>
        <v>0</v>
      </c>
      <c r="FD82" t="e">
        <f>AND(Insects!A129,"AAAAAD9fL58=")</f>
        <v>#VALUE!</v>
      </c>
      <c r="FE82" t="e">
        <f>AND(Insects!B129,"AAAAAD9fL6A=")</f>
        <v>#VALUE!</v>
      </c>
      <c r="FF82" t="e">
        <f>AND(Insects!C129,"AAAAAD9fL6E=")</f>
        <v>#VALUE!</v>
      </c>
      <c r="FG82" t="e">
        <f>AND(Insects!D129,"AAAAAD9fL6I=")</f>
        <v>#VALUE!</v>
      </c>
      <c r="FH82" t="e">
        <f>AND(Insects!E129,"AAAAAD9fL6M=")</f>
        <v>#VALUE!</v>
      </c>
      <c r="FI82" t="e">
        <f>AND(Insects!F129,"AAAAAD9fL6Q=")</f>
        <v>#VALUE!</v>
      </c>
      <c r="FJ82" t="e">
        <f>AND(Insects!G129,"AAAAAD9fL6U=")</f>
        <v>#VALUE!</v>
      </c>
      <c r="FK82" t="e">
        <f>AND(Insects!H129,"AAAAAD9fL6Y=")</f>
        <v>#VALUE!</v>
      </c>
      <c r="FL82" t="e">
        <f>AND(Insects!I129,"AAAAAD9fL6c=")</f>
        <v>#VALUE!</v>
      </c>
      <c r="FM82" t="e">
        <f>AND(Insects!J129,"AAAAAD9fL6g=")</f>
        <v>#VALUE!</v>
      </c>
      <c r="FN82" t="e">
        <f>AND(Insects!K129,"AAAAAD9fL6k=")</f>
        <v>#VALUE!</v>
      </c>
      <c r="FO82" t="e">
        <f>AND(Insects!L129,"AAAAAD9fL6o=")</f>
        <v>#VALUE!</v>
      </c>
      <c r="FP82" t="e">
        <f>AND(Insects!M129,"AAAAAD9fL6s=")</f>
        <v>#VALUE!</v>
      </c>
      <c r="FQ82" t="e">
        <f>AND(Insects!N129,"AAAAAD9fL6w=")</f>
        <v>#VALUE!</v>
      </c>
      <c r="FR82" t="e">
        <f>AND(Insects!O129,"AAAAAD9fL60=")</f>
        <v>#VALUE!</v>
      </c>
      <c r="FS82" t="e">
        <f>AND(Insects!P129,"AAAAAD9fL64=")</f>
        <v>#VALUE!</v>
      </c>
      <c r="FT82">
        <f>IF(Insects!130:130,"AAAAAD9fL68=",0)</f>
        <v>0</v>
      </c>
      <c r="FU82" t="e">
        <f>AND(Insects!A130,"AAAAAD9fL7A=")</f>
        <v>#VALUE!</v>
      </c>
      <c r="FV82" t="e">
        <f>AND(Insects!B130,"AAAAAD9fL7E=")</f>
        <v>#VALUE!</v>
      </c>
      <c r="FW82" t="e">
        <f>AND(Insects!C130,"AAAAAD9fL7I=")</f>
        <v>#VALUE!</v>
      </c>
      <c r="FX82" t="e">
        <f>AND(Insects!D130,"AAAAAD9fL7M=")</f>
        <v>#VALUE!</v>
      </c>
      <c r="FY82" t="e">
        <f>AND(Insects!E130,"AAAAAD9fL7Q=")</f>
        <v>#VALUE!</v>
      </c>
      <c r="FZ82" t="e">
        <f>AND(Insects!F130,"AAAAAD9fL7U=")</f>
        <v>#VALUE!</v>
      </c>
      <c r="GA82" t="e">
        <f>AND(Insects!G130,"AAAAAD9fL7Y=")</f>
        <v>#VALUE!</v>
      </c>
      <c r="GB82" t="e">
        <f>AND(Insects!H130,"AAAAAD9fL7c=")</f>
        <v>#VALUE!</v>
      </c>
      <c r="GC82" t="e">
        <f>AND(Insects!I130,"AAAAAD9fL7g=")</f>
        <v>#VALUE!</v>
      </c>
      <c r="GD82" t="e">
        <f>AND(Insects!J130,"AAAAAD9fL7k=")</f>
        <v>#VALUE!</v>
      </c>
      <c r="GE82" t="e">
        <f>AND(Insects!K130,"AAAAAD9fL7o=")</f>
        <v>#VALUE!</v>
      </c>
      <c r="GF82" t="e">
        <f>AND(Insects!L130,"AAAAAD9fL7s=")</f>
        <v>#VALUE!</v>
      </c>
      <c r="GG82" t="e">
        <f>AND(Insects!M130,"AAAAAD9fL7w=")</f>
        <v>#VALUE!</v>
      </c>
      <c r="GH82" t="e">
        <f>AND(Insects!N130,"AAAAAD9fL70=")</f>
        <v>#VALUE!</v>
      </c>
      <c r="GI82" t="e">
        <f>AND(Insects!O130,"AAAAAD9fL74=")</f>
        <v>#VALUE!</v>
      </c>
      <c r="GJ82" t="e">
        <f>AND(Insects!P130,"AAAAAD9fL78=")</f>
        <v>#VALUE!</v>
      </c>
      <c r="GK82">
        <f>IF(Insects!131:131,"AAAAAD9fL8A=",0)</f>
        <v>0</v>
      </c>
      <c r="GL82" t="e">
        <f>AND(Insects!A131,"AAAAAD9fL8E=")</f>
        <v>#VALUE!</v>
      </c>
      <c r="GM82" t="e">
        <f>AND(Insects!B131,"AAAAAD9fL8I=")</f>
        <v>#VALUE!</v>
      </c>
      <c r="GN82" t="e">
        <f>AND(Insects!C131,"AAAAAD9fL8M=")</f>
        <v>#VALUE!</v>
      </c>
      <c r="GO82" t="e">
        <f>AND(Insects!D131,"AAAAAD9fL8Q=")</f>
        <v>#VALUE!</v>
      </c>
      <c r="GP82" t="e">
        <f>AND(Insects!E131,"AAAAAD9fL8U=")</f>
        <v>#VALUE!</v>
      </c>
      <c r="GQ82" t="e">
        <f>AND(Insects!F131,"AAAAAD9fL8Y=")</f>
        <v>#VALUE!</v>
      </c>
      <c r="GR82" t="e">
        <f>AND(Insects!G131,"AAAAAD9fL8c=")</f>
        <v>#VALUE!</v>
      </c>
      <c r="GS82" t="e">
        <f>AND(Insects!H131,"AAAAAD9fL8g=")</f>
        <v>#VALUE!</v>
      </c>
      <c r="GT82" t="e">
        <f>AND(Insects!I131,"AAAAAD9fL8k=")</f>
        <v>#VALUE!</v>
      </c>
      <c r="GU82" t="e">
        <f>AND(Insects!J131,"AAAAAD9fL8o=")</f>
        <v>#VALUE!</v>
      </c>
      <c r="GV82" t="e">
        <f>AND(Insects!K131,"AAAAAD9fL8s=")</f>
        <v>#VALUE!</v>
      </c>
      <c r="GW82" t="e">
        <f>AND(Insects!L131,"AAAAAD9fL8w=")</f>
        <v>#VALUE!</v>
      </c>
      <c r="GX82" t="e">
        <f>AND(Insects!M131,"AAAAAD9fL80=")</f>
        <v>#VALUE!</v>
      </c>
      <c r="GY82" t="e">
        <f>AND(Insects!N131,"AAAAAD9fL84=")</f>
        <v>#VALUE!</v>
      </c>
      <c r="GZ82" t="e">
        <f>AND(Insects!O131,"AAAAAD9fL88=")</f>
        <v>#VALUE!</v>
      </c>
      <c r="HA82" t="e">
        <f>AND(Insects!P131,"AAAAAD9fL9A=")</f>
        <v>#VALUE!</v>
      </c>
      <c r="HB82">
        <f>IF(Insects!132:132,"AAAAAD9fL9E=",0)</f>
        <v>0</v>
      </c>
      <c r="HC82" t="e">
        <f>AND(Insects!A132,"AAAAAD9fL9I=")</f>
        <v>#VALUE!</v>
      </c>
      <c r="HD82" t="e">
        <f>AND(Insects!B132,"AAAAAD9fL9M=")</f>
        <v>#VALUE!</v>
      </c>
      <c r="HE82" t="e">
        <f>AND(Insects!C132,"AAAAAD9fL9Q=")</f>
        <v>#VALUE!</v>
      </c>
      <c r="HF82" t="e">
        <f>AND(Insects!D132,"AAAAAD9fL9U=")</f>
        <v>#VALUE!</v>
      </c>
      <c r="HG82" t="e">
        <f>AND(Insects!E132,"AAAAAD9fL9Y=")</f>
        <v>#VALUE!</v>
      </c>
      <c r="HH82" t="e">
        <f>AND(Insects!F132,"AAAAAD9fL9c=")</f>
        <v>#VALUE!</v>
      </c>
      <c r="HI82" t="e">
        <f>AND(Insects!G132,"AAAAAD9fL9g=")</f>
        <v>#VALUE!</v>
      </c>
      <c r="HJ82" t="e">
        <f>AND(Insects!H132,"AAAAAD9fL9k=")</f>
        <v>#VALUE!</v>
      </c>
      <c r="HK82" t="e">
        <f>AND(Insects!I132,"AAAAAD9fL9o=")</f>
        <v>#VALUE!</v>
      </c>
      <c r="HL82" t="e">
        <f>AND(Insects!J132,"AAAAAD9fL9s=")</f>
        <v>#VALUE!</v>
      </c>
      <c r="HM82" t="e">
        <f>AND(Insects!K132,"AAAAAD9fL9w=")</f>
        <v>#VALUE!</v>
      </c>
      <c r="HN82" t="e">
        <f>AND(Insects!L132,"AAAAAD9fL90=")</f>
        <v>#VALUE!</v>
      </c>
      <c r="HO82" t="e">
        <f>AND(Insects!M132,"AAAAAD9fL94=")</f>
        <v>#VALUE!</v>
      </c>
      <c r="HP82" t="e">
        <f>AND(Insects!N132,"AAAAAD9fL98=")</f>
        <v>#VALUE!</v>
      </c>
      <c r="HQ82" t="e">
        <f>AND(Insects!O132,"AAAAAD9fL+A=")</f>
        <v>#VALUE!</v>
      </c>
      <c r="HR82" t="e">
        <f>AND(Insects!P132,"AAAAAD9fL+E=")</f>
        <v>#VALUE!</v>
      </c>
      <c r="HS82">
        <f>IF(Insects!133:133,"AAAAAD9fL+I=",0)</f>
        <v>0</v>
      </c>
      <c r="HT82" t="e">
        <f>AND(Insects!A133,"AAAAAD9fL+M=")</f>
        <v>#VALUE!</v>
      </c>
      <c r="HU82" t="e">
        <f>AND(Insects!B133,"AAAAAD9fL+Q=")</f>
        <v>#VALUE!</v>
      </c>
      <c r="HV82" t="e">
        <f>AND(Insects!C133,"AAAAAD9fL+U=")</f>
        <v>#VALUE!</v>
      </c>
      <c r="HW82" t="e">
        <f>AND(Insects!D133,"AAAAAD9fL+Y=")</f>
        <v>#VALUE!</v>
      </c>
      <c r="HX82" t="e">
        <f>AND(Insects!E133,"AAAAAD9fL+c=")</f>
        <v>#VALUE!</v>
      </c>
      <c r="HY82" t="e">
        <f>AND(Insects!F133,"AAAAAD9fL+g=")</f>
        <v>#VALUE!</v>
      </c>
      <c r="HZ82" t="e">
        <f>AND(Insects!G133,"AAAAAD9fL+k=")</f>
        <v>#VALUE!</v>
      </c>
      <c r="IA82" t="e">
        <f>AND(Insects!H133,"AAAAAD9fL+o=")</f>
        <v>#VALUE!</v>
      </c>
      <c r="IB82" t="e">
        <f>AND(Insects!I133,"AAAAAD9fL+s=")</f>
        <v>#VALUE!</v>
      </c>
      <c r="IC82" t="e">
        <f>AND(Insects!J133,"AAAAAD9fL+w=")</f>
        <v>#VALUE!</v>
      </c>
      <c r="ID82" t="e">
        <f>AND(Insects!K133,"AAAAAD9fL+0=")</f>
        <v>#VALUE!</v>
      </c>
      <c r="IE82" t="e">
        <f>AND(Insects!L133,"AAAAAD9fL+4=")</f>
        <v>#VALUE!</v>
      </c>
      <c r="IF82" t="e">
        <f>AND(Insects!M133,"AAAAAD9fL+8=")</f>
        <v>#VALUE!</v>
      </c>
      <c r="IG82" t="e">
        <f>AND(Insects!N133,"AAAAAD9fL/A=")</f>
        <v>#VALUE!</v>
      </c>
      <c r="IH82" t="e">
        <f>AND(Insects!O133,"AAAAAD9fL/E=")</f>
        <v>#VALUE!</v>
      </c>
      <c r="II82" t="e">
        <f>AND(Insects!P133,"AAAAAD9fL/I=")</f>
        <v>#VALUE!</v>
      </c>
      <c r="IJ82">
        <f>IF(Insects!134:134,"AAAAAD9fL/M=",0)</f>
        <v>0</v>
      </c>
      <c r="IK82" t="e">
        <f>AND(Insects!A134,"AAAAAD9fL/Q=")</f>
        <v>#VALUE!</v>
      </c>
      <c r="IL82" t="e">
        <f>AND(Insects!B134,"AAAAAD9fL/U=")</f>
        <v>#VALUE!</v>
      </c>
      <c r="IM82" t="e">
        <f>AND(Insects!C134,"AAAAAD9fL/Y=")</f>
        <v>#VALUE!</v>
      </c>
      <c r="IN82" t="e">
        <f>AND(Insects!D134,"AAAAAD9fL/c=")</f>
        <v>#VALUE!</v>
      </c>
      <c r="IO82" t="e">
        <f>AND(Insects!E134,"AAAAAD9fL/g=")</f>
        <v>#VALUE!</v>
      </c>
      <c r="IP82" t="e">
        <f>AND(Insects!F134,"AAAAAD9fL/k=")</f>
        <v>#VALUE!</v>
      </c>
      <c r="IQ82" t="e">
        <f>AND(Insects!G134,"AAAAAD9fL/o=")</f>
        <v>#VALUE!</v>
      </c>
      <c r="IR82" t="e">
        <f>AND(Insects!H134,"AAAAAD9fL/s=")</f>
        <v>#VALUE!</v>
      </c>
      <c r="IS82" t="e">
        <f>AND(Insects!I134,"AAAAAD9fL/w=")</f>
        <v>#VALUE!</v>
      </c>
      <c r="IT82" t="e">
        <f>AND(Insects!J134,"AAAAAD9fL/0=")</f>
        <v>#VALUE!</v>
      </c>
      <c r="IU82" t="e">
        <f>AND(Insects!K134,"AAAAAD9fL/4=")</f>
        <v>#VALUE!</v>
      </c>
      <c r="IV82" t="e">
        <f>AND(Insects!L134,"AAAAAD9fL/8=")</f>
        <v>#VALUE!</v>
      </c>
    </row>
    <row r="83" spans="1:256">
      <c r="A83" t="e">
        <f>AND(Insects!M134,"AAAAAGr77AA=")</f>
        <v>#VALUE!</v>
      </c>
      <c r="B83" t="e">
        <f>AND(Insects!N134,"AAAAAGr77AE=")</f>
        <v>#VALUE!</v>
      </c>
      <c r="C83" t="e">
        <f>AND(Insects!O134,"AAAAAGr77AI=")</f>
        <v>#VALUE!</v>
      </c>
      <c r="D83" t="e">
        <f>AND(Insects!P134,"AAAAAGr77AM=")</f>
        <v>#VALUE!</v>
      </c>
      <c r="E83">
        <f>IF(Insects!135:135,"AAAAAGr77AQ=",0)</f>
        <v>0</v>
      </c>
      <c r="F83" t="e">
        <f>AND(Insects!A135,"AAAAAGr77AU=")</f>
        <v>#VALUE!</v>
      </c>
      <c r="G83" t="e">
        <f>AND(Insects!B135,"AAAAAGr77AY=")</f>
        <v>#VALUE!</v>
      </c>
      <c r="H83" t="e">
        <f>AND(Insects!C135,"AAAAAGr77Ac=")</f>
        <v>#VALUE!</v>
      </c>
      <c r="I83" t="e">
        <f>AND(Insects!D135,"AAAAAGr77Ag=")</f>
        <v>#VALUE!</v>
      </c>
      <c r="J83" t="e">
        <f>AND(Insects!E135,"AAAAAGr77Ak=")</f>
        <v>#VALUE!</v>
      </c>
      <c r="K83" t="e">
        <f>AND(Insects!F135,"AAAAAGr77Ao=")</f>
        <v>#VALUE!</v>
      </c>
      <c r="L83" t="e">
        <f>AND(Insects!G135,"AAAAAGr77As=")</f>
        <v>#VALUE!</v>
      </c>
      <c r="M83" t="e">
        <f>AND(Insects!H135,"AAAAAGr77Aw=")</f>
        <v>#VALUE!</v>
      </c>
      <c r="N83" t="e">
        <f>AND(Insects!I135,"AAAAAGr77A0=")</f>
        <v>#VALUE!</v>
      </c>
      <c r="O83" t="e">
        <f>AND(Insects!J135,"AAAAAGr77A4=")</f>
        <v>#VALUE!</v>
      </c>
      <c r="P83" t="e">
        <f>AND(Insects!K135,"AAAAAGr77A8=")</f>
        <v>#VALUE!</v>
      </c>
      <c r="Q83" t="e">
        <f>AND(Insects!L135,"AAAAAGr77BA=")</f>
        <v>#VALUE!</v>
      </c>
      <c r="R83" t="e">
        <f>AND(Insects!M135,"AAAAAGr77BE=")</f>
        <v>#VALUE!</v>
      </c>
      <c r="S83" t="e">
        <f>AND(Insects!N135,"AAAAAGr77BI=")</f>
        <v>#VALUE!</v>
      </c>
      <c r="T83" t="e">
        <f>AND(Insects!O135,"AAAAAGr77BM=")</f>
        <v>#VALUE!</v>
      </c>
      <c r="U83" t="e">
        <f>AND(Insects!P135,"AAAAAGr77BQ=")</f>
        <v>#VALUE!</v>
      </c>
      <c r="V83">
        <f>IF(Insects!136:136,"AAAAAGr77BU=",0)</f>
        <v>0</v>
      </c>
      <c r="W83" t="e">
        <f>AND(Insects!A136,"AAAAAGr77BY=")</f>
        <v>#VALUE!</v>
      </c>
      <c r="X83" t="e">
        <f>AND(Insects!B136,"AAAAAGr77Bc=")</f>
        <v>#VALUE!</v>
      </c>
      <c r="Y83" t="e">
        <f>AND(Insects!C136,"AAAAAGr77Bg=")</f>
        <v>#VALUE!</v>
      </c>
      <c r="Z83" t="e">
        <f>AND(Insects!D136,"AAAAAGr77Bk=")</f>
        <v>#VALUE!</v>
      </c>
      <c r="AA83" t="e">
        <f>AND(Insects!E136,"AAAAAGr77Bo=")</f>
        <v>#VALUE!</v>
      </c>
      <c r="AB83" t="e">
        <f>AND(Insects!F136,"AAAAAGr77Bs=")</f>
        <v>#VALUE!</v>
      </c>
      <c r="AC83" t="e">
        <f>AND(Insects!G136,"AAAAAGr77Bw=")</f>
        <v>#VALUE!</v>
      </c>
      <c r="AD83" t="e">
        <f>AND(Insects!H136,"AAAAAGr77B0=")</f>
        <v>#VALUE!</v>
      </c>
      <c r="AE83" t="e">
        <f>AND(Insects!I136,"AAAAAGr77B4=")</f>
        <v>#VALUE!</v>
      </c>
      <c r="AF83" t="e">
        <f>AND(Insects!J136,"AAAAAGr77B8=")</f>
        <v>#VALUE!</v>
      </c>
      <c r="AG83" t="e">
        <f>AND(Insects!K136,"AAAAAGr77CA=")</f>
        <v>#VALUE!</v>
      </c>
      <c r="AH83" t="e">
        <f>AND(Insects!L136,"AAAAAGr77CE=")</f>
        <v>#VALUE!</v>
      </c>
      <c r="AI83" t="e">
        <f>AND(Insects!M136,"AAAAAGr77CI=")</f>
        <v>#VALUE!</v>
      </c>
      <c r="AJ83" t="e">
        <f>AND(Insects!N136,"AAAAAGr77CM=")</f>
        <v>#VALUE!</v>
      </c>
      <c r="AK83" t="e">
        <f>AND(Insects!O136,"AAAAAGr77CQ=")</f>
        <v>#VALUE!</v>
      </c>
      <c r="AL83" t="e">
        <f>AND(Insects!P136,"AAAAAGr77CU=")</f>
        <v>#VALUE!</v>
      </c>
      <c r="AM83">
        <f>IF(Insects!137:137,"AAAAAGr77CY=",0)</f>
        <v>0</v>
      </c>
      <c r="AN83" t="e">
        <f>AND(Insects!A137,"AAAAAGr77Cc=")</f>
        <v>#VALUE!</v>
      </c>
      <c r="AO83" t="e">
        <f>AND(Insects!B137,"AAAAAGr77Cg=")</f>
        <v>#VALUE!</v>
      </c>
      <c r="AP83" t="e">
        <f>AND(Insects!C137,"AAAAAGr77Ck=")</f>
        <v>#VALUE!</v>
      </c>
      <c r="AQ83" t="e">
        <f>AND(Insects!D137,"AAAAAGr77Co=")</f>
        <v>#VALUE!</v>
      </c>
      <c r="AR83" t="e">
        <f>AND(Insects!E137,"AAAAAGr77Cs=")</f>
        <v>#VALUE!</v>
      </c>
      <c r="AS83" t="e">
        <f>AND(Insects!F137,"AAAAAGr77Cw=")</f>
        <v>#VALUE!</v>
      </c>
      <c r="AT83" t="e">
        <f>AND(Insects!G137,"AAAAAGr77C0=")</f>
        <v>#VALUE!</v>
      </c>
      <c r="AU83" t="e">
        <f>AND(Insects!H137,"AAAAAGr77C4=")</f>
        <v>#VALUE!</v>
      </c>
      <c r="AV83" t="e">
        <f>AND(Insects!I137,"AAAAAGr77C8=")</f>
        <v>#VALUE!</v>
      </c>
      <c r="AW83" t="e">
        <f>AND(Insects!J137,"AAAAAGr77DA=")</f>
        <v>#VALUE!</v>
      </c>
      <c r="AX83" t="e">
        <f>AND(Insects!K137,"AAAAAGr77DE=")</f>
        <v>#VALUE!</v>
      </c>
      <c r="AY83" t="e">
        <f>AND(Insects!L137,"AAAAAGr77DI=")</f>
        <v>#VALUE!</v>
      </c>
      <c r="AZ83" t="e">
        <f>AND(Insects!M137,"AAAAAGr77DM=")</f>
        <v>#VALUE!</v>
      </c>
      <c r="BA83" t="e">
        <f>AND(Insects!N137,"AAAAAGr77DQ=")</f>
        <v>#VALUE!</v>
      </c>
      <c r="BB83" t="e">
        <f>AND(Insects!O137,"AAAAAGr77DU=")</f>
        <v>#VALUE!</v>
      </c>
      <c r="BC83" t="e">
        <f>AND(Insects!P137,"AAAAAGr77DY=")</f>
        <v>#VALUE!</v>
      </c>
      <c r="BD83">
        <f>IF(Insects!138:138,"AAAAAGr77Dc=",0)</f>
        <v>0</v>
      </c>
      <c r="BE83" t="e">
        <f>AND(Insects!A138,"AAAAAGr77Dg=")</f>
        <v>#VALUE!</v>
      </c>
      <c r="BF83" t="e">
        <f>AND(Insects!B138,"AAAAAGr77Dk=")</f>
        <v>#VALUE!</v>
      </c>
      <c r="BG83" t="e">
        <f>AND(Insects!C138,"AAAAAGr77Do=")</f>
        <v>#VALUE!</v>
      </c>
      <c r="BH83" t="e">
        <f>AND(Insects!D138,"AAAAAGr77Ds=")</f>
        <v>#VALUE!</v>
      </c>
      <c r="BI83" t="e">
        <f>AND(Insects!E138,"AAAAAGr77Dw=")</f>
        <v>#VALUE!</v>
      </c>
      <c r="BJ83" t="e">
        <f>AND(Insects!F138,"AAAAAGr77D0=")</f>
        <v>#VALUE!</v>
      </c>
      <c r="BK83" t="e">
        <f>AND(Insects!G138,"AAAAAGr77D4=")</f>
        <v>#VALUE!</v>
      </c>
      <c r="BL83" t="e">
        <f>AND(Insects!H138,"AAAAAGr77D8=")</f>
        <v>#VALUE!</v>
      </c>
      <c r="BM83" t="e">
        <f>AND(Insects!I138,"AAAAAGr77EA=")</f>
        <v>#VALUE!</v>
      </c>
      <c r="BN83" t="e">
        <f>AND(Insects!J138,"AAAAAGr77EE=")</f>
        <v>#VALUE!</v>
      </c>
      <c r="BO83" t="e">
        <f>AND(Insects!K138,"AAAAAGr77EI=")</f>
        <v>#VALUE!</v>
      </c>
      <c r="BP83" t="e">
        <f>AND(Insects!L138,"AAAAAGr77EM=")</f>
        <v>#VALUE!</v>
      </c>
      <c r="BQ83" t="e">
        <f>AND(Insects!M138,"AAAAAGr77EQ=")</f>
        <v>#VALUE!</v>
      </c>
      <c r="BR83" t="e">
        <f>AND(Insects!N138,"AAAAAGr77EU=")</f>
        <v>#VALUE!</v>
      </c>
      <c r="BS83" t="e">
        <f>AND(Insects!O138,"AAAAAGr77EY=")</f>
        <v>#VALUE!</v>
      </c>
      <c r="BT83" t="e">
        <f>AND(Insects!P138,"AAAAAGr77Ec=")</f>
        <v>#VALUE!</v>
      </c>
      <c r="BU83">
        <f>IF(Insects!139:139,"AAAAAGr77Eg=",0)</f>
        <v>0</v>
      </c>
      <c r="BV83" t="e">
        <f>AND(Insects!A139,"AAAAAGr77Ek=")</f>
        <v>#VALUE!</v>
      </c>
      <c r="BW83" t="e">
        <f>AND(Insects!B139,"AAAAAGr77Eo=")</f>
        <v>#VALUE!</v>
      </c>
      <c r="BX83" t="e">
        <f>AND(Insects!C139,"AAAAAGr77Es=")</f>
        <v>#VALUE!</v>
      </c>
      <c r="BY83" t="e">
        <f>AND(Insects!D139,"AAAAAGr77Ew=")</f>
        <v>#VALUE!</v>
      </c>
      <c r="BZ83" t="e">
        <f>AND(Insects!E139,"AAAAAGr77E0=")</f>
        <v>#VALUE!</v>
      </c>
      <c r="CA83" t="e">
        <f>AND(Insects!F139,"AAAAAGr77E4=")</f>
        <v>#VALUE!</v>
      </c>
      <c r="CB83" t="e">
        <f>AND(Insects!G139,"AAAAAGr77E8=")</f>
        <v>#VALUE!</v>
      </c>
      <c r="CC83" t="e">
        <f>AND(Insects!H139,"AAAAAGr77FA=")</f>
        <v>#VALUE!</v>
      </c>
      <c r="CD83" t="e">
        <f>AND(Insects!I139,"AAAAAGr77FE=")</f>
        <v>#VALUE!</v>
      </c>
      <c r="CE83" t="e">
        <f>AND(Insects!J139,"AAAAAGr77FI=")</f>
        <v>#VALUE!</v>
      </c>
      <c r="CF83" t="e">
        <f>AND(Insects!K139,"AAAAAGr77FM=")</f>
        <v>#VALUE!</v>
      </c>
      <c r="CG83" t="e">
        <f>AND(Insects!L139,"AAAAAGr77FQ=")</f>
        <v>#VALUE!</v>
      </c>
      <c r="CH83" t="e">
        <f>AND(Insects!M139,"AAAAAGr77FU=")</f>
        <v>#VALUE!</v>
      </c>
      <c r="CI83" t="e">
        <f>AND(Insects!N139,"AAAAAGr77FY=")</f>
        <v>#VALUE!</v>
      </c>
      <c r="CJ83" t="e">
        <f>AND(Insects!O139,"AAAAAGr77Fc=")</f>
        <v>#VALUE!</v>
      </c>
      <c r="CK83" t="e">
        <f>AND(Insects!P139,"AAAAAGr77Fg=")</f>
        <v>#VALUE!</v>
      </c>
      <c r="CL83">
        <f>IF(Insects!140:140,"AAAAAGr77Fk=",0)</f>
        <v>0</v>
      </c>
      <c r="CM83" t="e">
        <f>AND(Insects!A140,"AAAAAGr77Fo=")</f>
        <v>#VALUE!</v>
      </c>
      <c r="CN83" t="e">
        <f>AND(Insects!B140,"AAAAAGr77Fs=")</f>
        <v>#VALUE!</v>
      </c>
      <c r="CO83" t="e">
        <f>AND(Insects!C140,"AAAAAGr77Fw=")</f>
        <v>#VALUE!</v>
      </c>
      <c r="CP83" t="e">
        <f>AND(Insects!D140,"AAAAAGr77F0=")</f>
        <v>#VALUE!</v>
      </c>
      <c r="CQ83" t="e">
        <f>AND(Insects!E140,"AAAAAGr77F4=")</f>
        <v>#VALUE!</v>
      </c>
      <c r="CR83" t="e">
        <f>AND(Insects!F140,"AAAAAGr77F8=")</f>
        <v>#VALUE!</v>
      </c>
      <c r="CS83" t="e">
        <f>AND(Insects!G140,"AAAAAGr77GA=")</f>
        <v>#VALUE!</v>
      </c>
      <c r="CT83" t="e">
        <f>AND(Insects!H140,"AAAAAGr77GE=")</f>
        <v>#VALUE!</v>
      </c>
      <c r="CU83" t="e">
        <f>AND(Insects!I140,"AAAAAGr77GI=")</f>
        <v>#VALUE!</v>
      </c>
      <c r="CV83" t="e">
        <f>AND(Insects!J140,"AAAAAGr77GM=")</f>
        <v>#VALUE!</v>
      </c>
      <c r="CW83" t="e">
        <f>AND(Insects!K140,"AAAAAGr77GQ=")</f>
        <v>#VALUE!</v>
      </c>
      <c r="CX83" t="e">
        <f>AND(Insects!L140,"AAAAAGr77GU=")</f>
        <v>#VALUE!</v>
      </c>
      <c r="CY83" t="e">
        <f>AND(Insects!M140,"AAAAAGr77GY=")</f>
        <v>#VALUE!</v>
      </c>
      <c r="CZ83" t="e">
        <f>AND(Insects!N140,"AAAAAGr77Gc=")</f>
        <v>#VALUE!</v>
      </c>
      <c r="DA83" t="e">
        <f>AND(Insects!O140,"AAAAAGr77Gg=")</f>
        <v>#VALUE!</v>
      </c>
      <c r="DB83" t="e">
        <f>AND(Insects!P140,"AAAAAGr77Gk=")</f>
        <v>#VALUE!</v>
      </c>
      <c r="DC83">
        <f>IF(Insects!141:141,"AAAAAGr77Go=",0)</f>
        <v>0</v>
      </c>
      <c r="DD83" t="e">
        <f>AND(Insects!A141,"AAAAAGr77Gs=")</f>
        <v>#VALUE!</v>
      </c>
      <c r="DE83" t="e">
        <f>AND(Insects!B141,"AAAAAGr77Gw=")</f>
        <v>#VALUE!</v>
      </c>
      <c r="DF83" t="e">
        <f>AND(Insects!C141,"AAAAAGr77G0=")</f>
        <v>#VALUE!</v>
      </c>
      <c r="DG83" t="e">
        <f>AND(Insects!D141,"AAAAAGr77G4=")</f>
        <v>#VALUE!</v>
      </c>
      <c r="DH83" t="e">
        <f>AND(Insects!E141,"AAAAAGr77G8=")</f>
        <v>#VALUE!</v>
      </c>
      <c r="DI83" t="e">
        <f>AND(Insects!F141,"AAAAAGr77HA=")</f>
        <v>#VALUE!</v>
      </c>
      <c r="DJ83" t="e">
        <f>AND(Insects!G141,"AAAAAGr77HE=")</f>
        <v>#VALUE!</v>
      </c>
      <c r="DK83" t="e">
        <f>AND(Insects!H141,"AAAAAGr77HI=")</f>
        <v>#VALUE!</v>
      </c>
      <c r="DL83" t="e">
        <f>AND(Insects!I141,"AAAAAGr77HM=")</f>
        <v>#VALUE!</v>
      </c>
      <c r="DM83" t="e">
        <f>AND(Insects!J141,"AAAAAGr77HQ=")</f>
        <v>#VALUE!</v>
      </c>
      <c r="DN83" t="e">
        <f>AND(Insects!K141,"AAAAAGr77HU=")</f>
        <v>#VALUE!</v>
      </c>
      <c r="DO83" t="e">
        <f>AND(Insects!L141,"AAAAAGr77HY=")</f>
        <v>#VALUE!</v>
      </c>
      <c r="DP83" t="e">
        <f>AND(Insects!M141,"AAAAAGr77Hc=")</f>
        <v>#VALUE!</v>
      </c>
      <c r="DQ83" t="e">
        <f>AND(Insects!N141,"AAAAAGr77Hg=")</f>
        <v>#VALUE!</v>
      </c>
      <c r="DR83" t="e">
        <f>AND(Insects!O141,"AAAAAGr77Hk=")</f>
        <v>#VALUE!</v>
      </c>
      <c r="DS83" t="e">
        <f>AND(Insects!P141,"AAAAAGr77Ho=")</f>
        <v>#VALUE!</v>
      </c>
      <c r="DT83">
        <f>IF(Insects!142:142,"AAAAAGr77Hs=",0)</f>
        <v>0</v>
      </c>
      <c r="DU83" t="e">
        <f>AND(Insects!A142,"AAAAAGr77Hw=")</f>
        <v>#VALUE!</v>
      </c>
      <c r="DV83" t="e">
        <f>AND(Insects!B142,"AAAAAGr77H0=")</f>
        <v>#VALUE!</v>
      </c>
      <c r="DW83" t="e">
        <f>AND(Insects!C142,"AAAAAGr77H4=")</f>
        <v>#VALUE!</v>
      </c>
      <c r="DX83" t="e">
        <f>AND(Insects!D142,"AAAAAGr77H8=")</f>
        <v>#VALUE!</v>
      </c>
      <c r="DY83" t="e">
        <f>AND(Insects!E142,"AAAAAGr77IA=")</f>
        <v>#VALUE!</v>
      </c>
      <c r="DZ83" t="e">
        <f>AND(Insects!F142,"AAAAAGr77IE=")</f>
        <v>#VALUE!</v>
      </c>
      <c r="EA83" t="e">
        <f>AND(Insects!G142,"AAAAAGr77II=")</f>
        <v>#VALUE!</v>
      </c>
      <c r="EB83" t="e">
        <f>AND(Insects!H142,"AAAAAGr77IM=")</f>
        <v>#VALUE!</v>
      </c>
      <c r="EC83" t="e">
        <f>AND(Insects!I142,"AAAAAGr77IQ=")</f>
        <v>#VALUE!</v>
      </c>
      <c r="ED83" t="e">
        <f>AND(Insects!J142,"AAAAAGr77IU=")</f>
        <v>#VALUE!</v>
      </c>
      <c r="EE83" t="e">
        <f>AND(Insects!K142,"AAAAAGr77IY=")</f>
        <v>#VALUE!</v>
      </c>
      <c r="EF83" t="e">
        <f>AND(Insects!L142,"AAAAAGr77Ic=")</f>
        <v>#VALUE!</v>
      </c>
      <c r="EG83" t="e">
        <f>AND(Insects!M142,"AAAAAGr77Ig=")</f>
        <v>#VALUE!</v>
      </c>
      <c r="EH83" t="e">
        <f>AND(Insects!N142,"AAAAAGr77Ik=")</f>
        <v>#VALUE!</v>
      </c>
      <c r="EI83" t="e">
        <f>AND(Insects!O142,"AAAAAGr77Io=")</f>
        <v>#VALUE!</v>
      </c>
      <c r="EJ83" t="e">
        <f>AND(Insects!P142,"AAAAAGr77Is=")</f>
        <v>#VALUE!</v>
      </c>
      <c r="EK83">
        <f>IF(Insects!143:143,"AAAAAGr77Iw=",0)</f>
        <v>0</v>
      </c>
      <c r="EL83" t="e">
        <f>AND(Insects!A143,"AAAAAGr77I0=")</f>
        <v>#VALUE!</v>
      </c>
      <c r="EM83" t="e">
        <f>AND(Insects!B143,"AAAAAGr77I4=")</f>
        <v>#VALUE!</v>
      </c>
      <c r="EN83" t="e">
        <f>AND(Insects!C143,"AAAAAGr77I8=")</f>
        <v>#VALUE!</v>
      </c>
      <c r="EO83" t="e">
        <f>AND(Insects!D143,"AAAAAGr77JA=")</f>
        <v>#VALUE!</v>
      </c>
      <c r="EP83" t="e">
        <f>AND(Insects!E143,"AAAAAGr77JE=")</f>
        <v>#VALUE!</v>
      </c>
      <c r="EQ83" t="e">
        <f>AND(Insects!F143,"AAAAAGr77JI=")</f>
        <v>#VALUE!</v>
      </c>
      <c r="ER83" t="e">
        <f>AND(Insects!G143,"AAAAAGr77JM=")</f>
        <v>#VALUE!</v>
      </c>
      <c r="ES83" t="e">
        <f>AND(Insects!H143,"AAAAAGr77JQ=")</f>
        <v>#VALUE!</v>
      </c>
      <c r="ET83" t="e">
        <f>AND(Insects!I143,"AAAAAGr77JU=")</f>
        <v>#VALUE!</v>
      </c>
      <c r="EU83" t="e">
        <f>AND(Insects!J143,"AAAAAGr77JY=")</f>
        <v>#VALUE!</v>
      </c>
      <c r="EV83" t="e">
        <f>AND(Insects!K143,"AAAAAGr77Jc=")</f>
        <v>#VALUE!</v>
      </c>
      <c r="EW83" t="e">
        <f>AND(Insects!L143,"AAAAAGr77Jg=")</f>
        <v>#VALUE!</v>
      </c>
      <c r="EX83" t="e">
        <f>AND(Insects!M143,"AAAAAGr77Jk=")</f>
        <v>#VALUE!</v>
      </c>
      <c r="EY83" t="e">
        <f>AND(Insects!N143,"AAAAAGr77Jo=")</f>
        <v>#VALUE!</v>
      </c>
      <c r="EZ83" t="e">
        <f>AND(Insects!O143,"AAAAAGr77Js=")</f>
        <v>#VALUE!</v>
      </c>
      <c r="FA83" t="e">
        <f>AND(Insects!P143,"AAAAAGr77Jw=")</f>
        <v>#VALUE!</v>
      </c>
      <c r="FB83">
        <f>IF(Insects!144:144,"AAAAAGr77J0=",0)</f>
        <v>0</v>
      </c>
      <c r="FC83" t="e">
        <f>AND(Insects!A144,"AAAAAGr77J4=")</f>
        <v>#VALUE!</v>
      </c>
      <c r="FD83" t="e">
        <f>AND(Insects!B144,"AAAAAGr77J8=")</f>
        <v>#VALUE!</v>
      </c>
      <c r="FE83" t="e">
        <f>AND(Insects!C144,"AAAAAGr77KA=")</f>
        <v>#VALUE!</v>
      </c>
      <c r="FF83" t="e">
        <f>AND(Insects!D144,"AAAAAGr77KE=")</f>
        <v>#VALUE!</v>
      </c>
      <c r="FG83" t="e">
        <f>AND(Insects!E144,"AAAAAGr77KI=")</f>
        <v>#VALUE!</v>
      </c>
      <c r="FH83" t="e">
        <f>AND(Insects!F144,"AAAAAGr77KM=")</f>
        <v>#VALUE!</v>
      </c>
      <c r="FI83" t="e">
        <f>AND(Insects!G144,"AAAAAGr77KQ=")</f>
        <v>#VALUE!</v>
      </c>
      <c r="FJ83" t="e">
        <f>AND(Insects!H144,"AAAAAGr77KU=")</f>
        <v>#VALUE!</v>
      </c>
      <c r="FK83" t="e">
        <f>AND(Insects!I144,"AAAAAGr77KY=")</f>
        <v>#VALUE!</v>
      </c>
      <c r="FL83" t="e">
        <f>AND(Insects!J144,"AAAAAGr77Kc=")</f>
        <v>#VALUE!</v>
      </c>
      <c r="FM83" t="e">
        <f>AND(Insects!K144,"AAAAAGr77Kg=")</f>
        <v>#VALUE!</v>
      </c>
      <c r="FN83" t="e">
        <f>AND(Insects!L144,"AAAAAGr77Kk=")</f>
        <v>#VALUE!</v>
      </c>
      <c r="FO83" t="e">
        <f>AND(Insects!M144,"AAAAAGr77Ko=")</f>
        <v>#VALUE!</v>
      </c>
      <c r="FP83" t="e">
        <f>AND(Insects!N144,"AAAAAGr77Ks=")</f>
        <v>#VALUE!</v>
      </c>
      <c r="FQ83" t="e">
        <f>AND(Insects!O144,"AAAAAGr77Kw=")</f>
        <v>#VALUE!</v>
      </c>
      <c r="FR83" t="e">
        <f>AND(Insects!P144,"AAAAAGr77K0=")</f>
        <v>#VALUE!</v>
      </c>
      <c r="FS83">
        <f>IF(Insects!145:145,"AAAAAGr77K4=",0)</f>
        <v>0</v>
      </c>
      <c r="FT83" t="e">
        <f>AND(Insects!A145,"AAAAAGr77K8=")</f>
        <v>#VALUE!</v>
      </c>
      <c r="FU83" t="e">
        <f>AND(Insects!B145,"AAAAAGr77LA=")</f>
        <v>#VALUE!</v>
      </c>
      <c r="FV83" t="e">
        <f>AND(Insects!C145,"AAAAAGr77LE=")</f>
        <v>#VALUE!</v>
      </c>
      <c r="FW83" t="e">
        <f>AND(Insects!D145,"AAAAAGr77LI=")</f>
        <v>#VALUE!</v>
      </c>
      <c r="FX83" t="e">
        <f>AND(Insects!E145,"AAAAAGr77LM=")</f>
        <v>#VALUE!</v>
      </c>
      <c r="FY83" t="e">
        <f>AND(Insects!F145,"AAAAAGr77LQ=")</f>
        <v>#VALUE!</v>
      </c>
      <c r="FZ83" t="e">
        <f>AND(Insects!G145,"AAAAAGr77LU=")</f>
        <v>#VALUE!</v>
      </c>
      <c r="GA83" t="e">
        <f>AND(Insects!H145,"AAAAAGr77LY=")</f>
        <v>#VALUE!</v>
      </c>
      <c r="GB83" t="e">
        <f>AND(Insects!I145,"AAAAAGr77Lc=")</f>
        <v>#VALUE!</v>
      </c>
      <c r="GC83" t="e">
        <f>AND(Insects!J145,"AAAAAGr77Lg=")</f>
        <v>#VALUE!</v>
      </c>
      <c r="GD83" t="e">
        <f>AND(Insects!K145,"AAAAAGr77Lk=")</f>
        <v>#VALUE!</v>
      </c>
      <c r="GE83" t="e">
        <f>AND(Insects!L145,"AAAAAGr77Lo=")</f>
        <v>#VALUE!</v>
      </c>
      <c r="GF83" t="e">
        <f>AND(Insects!M145,"AAAAAGr77Ls=")</f>
        <v>#VALUE!</v>
      </c>
      <c r="GG83" t="e">
        <f>AND(Insects!N145,"AAAAAGr77Lw=")</f>
        <v>#VALUE!</v>
      </c>
      <c r="GH83" t="e">
        <f>AND(Insects!O145,"AAAAAGr77L0=")</f>
        <v>#VALUE!</v>
      </c>
      <c r="GI83" t="e">
        <f>AND(Insects!P145,"AAAAAGr77L4=")</f>
        <v>#VALUE!</v>
      </c>
      <c r="GJ83">
        <f>IF(Insects!146:146,"AAAAAGr77L8=",0)</f>
        <v>0</v>
      </c>
      <c r="GK83" t="e">
        <f>AND(Insects!A146,"AAAAAGr77MA=")</f>
        <v>#VALUE!</v>
      </c>
      <c r="GL83" t="e">
        <f>AND(Insects!B146,"AAAAAGr77ME=")</f>
        <v>#VALUE!</v>
      </c>
      <c r="GM83" t="e">
        <f>AND(Insects!C146,"AAAAAGr77MI=")</f>
        <v>#VALUE!</v>
      </c>
      <c r="GN83" t="e">
        <f>AND(Insects!D146,"AAAAAGr77MM=")</f>
        <v>#VALUE!</v>
      </c>
      <c r="GO83" t="e">
        <f>AND(Insects!E146,"AAAAAGr77MQ=")</f>
        <v>#VALUE!</v>
      </c>
      <c r="GP83" t="e">
        <f>AND(Insects!F146,"AAAAAGr77MU=")</f>
        <v>#VALUE!</v>
      </c>
      <c r="GQ83" t="e">
        <f>AND(Insects!G146,"AAAAAGr77MY=")</f>
        <v>#VALUE!</v>
      </c>
      <c r="GR83" t="e">
        <f>AND(Insects!H146,"AAAAAGr77Mc=")</f>
        <v>#VALUE!</v>
      </c>
      <c r="GS83" t="e">
        <f>AND(Insects!I146,"AAAAAGr77Mg=")</f>
        <v>#VALUE!</v>
      </c>
      <c r="GT83" t="e">
        <f>AND(Insects!J146,"AAAAAGr77Mk=")</f>
        <v>#VALUE!</v>
      </c>
      <c r="GU83" t="e">
        <f>AND(Insects!K146,"AAAAAGr77Mo=")</f>
        <v>#VALUE!</v>
      </c>
      <c r="GV83" t="e">
        <f>AND(Insects!L146,"AAAAAGr77Ms=")</f>
        <v>#VALUE!</v>
      </c>
      <c r="GW83" t="e">
        <f>AND(Insects!M146,"AAAAAGr77Mw=")</f>
        <v>#VALUE!</v>
      </c>
      <c r="GX83" t="e">
        <f>AND(Insects!N146,"AAAAAGr77M0=")</f>
        <v>#VALUE!</v>
      </c>
      <c r="GY83" t="e">
        <f>AND(Insects!O146,"AAAAAGr77M4=")</f>
        <v>#VALUE!</v>
      </c>
      <c r="GZ83" t="e">
        <f>AND(Insects!P146,"AAAAAGr77M8=")</f>
        <v>#VALUE!</v>
      </c>
      <c r="HA83">
        <f>IF(Insects!147:147,"AAAAAGr77NA=",0)</f>
        <v>0</v>
      </c>
      <c r="HB83" t="e">
        <f>AND(Insects!A147,"AAAAAGr77NE=")</f>
        <v>#VALUE!</v>
      </c>
      <c r="HC83" t="e">
        <f>AND(Insects!B147,"AAAAAGr77NI=")</f>
        <v>#VALUE!</v>
      </c>
      <c r="HD83" t="e">
        <f>AND(Insects!C147,"AAAAAGr77NM=")</f>
        <v>#VALUE!</v>
      </c>
      <c r="HE83" t="e">
        <f>AND(Insects!D147,"AAAAAGr77NQ=")</f>
        <v>#VALUE!</v>
      </c>
      <c r="HF83" t="e">
        <f>AND(Insects!E147,"AAAAAGr77NU=")</f>
        <v>#VALUE!</v>
      </c>
      <c r="HG83" t="e">
        <f>AND(Insects!F147,"AAAAAGr77NY=")</f>
        <v>#VALUE!</v>
      </c>
      <c r="HH83" t="e">
        <f>AND(Insects!G147,"AAAAAGr77Nc=")</f>
        <v>#VALUE!</v>
      </c>
      <c r="HI83" t="e">
        <f>AND(Insects!H147,"AAAAAGr77Ng=")</f>
        <v>#VALUE!</v>
      </c>
      <c r="HJ83" t="e">
        <f>AND(Insects!I147,"AAAAAGr77Nk=")</f>
        <v>#VALUE!</v>
      </c>
      <c r="HK83" t="e">
        <f>AND(Insects!J147,"AAAAAGr77No=")</f>
        <v>#VALUE!</v>
      </c>
      <c r="HL83" t="e">
        <f>AND(Insects!K147,"AAAAAGr77Ns=")</f>
        <v>#VALUE!</v>
      </c>
      <c r="HM83" t="e">
        <f>AND(Insects!L147,"AAAAAGr77Nw=")</f>
        <v>#VALUE!</v>
      </c>
      <c r="HN83" t="e">
        <f>AND(Insects!M147,"AAAAAGr77N0=")</f>
        <v>#VALUE!</v>
      </c>
      <c r="HO83" t="e">
        <f>AND(Insects!N147,"AAAAAGr77N4=")</f>
        <v>#VALUE!</v>
      </c>
      <c r="HP83" t="e">
        <f>AND(Insects!O147,"AAAAAGr77N8=")</f>
        <v>#VALUE!</v>
      </c>
      <c r="HQ83" t="e">
        <f>AND(Insects!P147,"AAAAAGr77OA=")</f>
        <v>#VALUE!</v>
      </c>
      <c r="HR83">
        <f>IF(Insects!148:148,"AAAAAGr77OE=",0)</f>
        <v>0</v>
      </c>
      <c r="HS83" t="e">
        <f>AND(Insects!A148,"AAAAAGr77OI=")</f>
        <v>#VALUE!</v>
      </c>
      <c r="HT83" t="e">
        <f>AND(Insects!B148,"AAAAAGr77OM=")</f>
        <v>#VALUE!</v>
      </c>
      <c r="HU83" t="e">
        <f>AND(Insects!C148,"AAAAAGr77OQ=")</f>
        <v>#VALUE!</v>
      </c>
      <c r="HV83" t="e">
        <f>AND(Insects!D148,"AAAAAGr77OU=")</f>
        <v>#VALUE!</v>
      </c>
      <c r="HW83" t="e">
        <f>AND(Insects!E148,"AAAAAGr77OY=")</f>
        <v>#VALUE!</v>
      </c>
      <c r="HX83" t="e">
        <f>AND(Insects!F148,"AAAAAGr77Oc=")</f>
        <v>#VALUE!</v>
      </c>
      <c r="HY83" t="e">
        <f>AND(Insects!G148,"AAAAAGr77Og=")</f>
        <v>#VALUE!</v>
      </c>
      <c r="HZ83" t="e">
        <f>AND(Insects!H148,"AAAAAGr77Ok=")</f>
        <v>#VALUE!</v>
      </c>
      <c r="IA83" t="e">
        <f>AND(Insects!I148,"AAAAAGr77Oo=")</f>
        <v>#VALUE!</v>
      </c>
      <c r="IB83" t="e">
        <f>AND(Insects!J148,"AAAAAGr77Os=")</f>
        <v>#VALUE!</v>
      </c>
      <c r="IC83" t="e">
        <f>AND(Insects!K148,"AAAAAGr77Ow=")</f>
        <v>#VALUE!</v>
      </c>
      <c r="ID83" t="e">
        <f>AND(Insects!L148,"AAAAAGr77O0=")</f>
        <v>#VALUE!</v>
      </c>
      <c r="IE83" t="e">
        <f>AND(Insects!M148,"AAAAAGr77O4=")</f>
        <v>#VALUE!</v>
      </c>
      <c r="IF83" t="e">
        <f>AND(Insects!N148,"AAAAAGr77O8=")</f>
        <v>#VALUE!</v>
      </c>
      <c r="IG83" t="e">
        <f>AND(Insects!O148,"AAAAAGr77PA=")</f>
        <v>#VALUE!</v>
      </c>
      <c r="IH83" t="e">
        <f>AND(Insects!P148,"AAAAAGr77PE=")</f>
        <v>#VALUE!</v>
      </c>
      <c r="II83">
        <f>IF(Insects!149:149,"AAAAAGr77PI=",0)</f>
        <v>0</v>
      </c>
      <c r="IJ83" t="e">
        <f>AND(Insects!A149,"AAAAAGr77PM=")</f>
        <v>#VALUE!</v>
      </c>
      <c r="IK83" t="e">
        <f>AND(Insects!B149,"AAAAAGr77PQ=")</f>
        <v>#VALUE!</v>
      </c>
      <c r="IL83" t="e">
        <f>AND(Insects!C149,"AAAAAGr77PU=")</f>
        <v>#VALUE!</v>
      </c>
      <c r="IM83" t="e">
        <f>AND(Insects!D149,"AAAAAGr77PY=")</f>
        <v>#VALUE!</v>
      </c>
      <c r="IN83" t="e">
        <f>AND(Insects!E149,"AAAAAGr77Pc=")</f>
        <v>#VALUE!</v>
      </c>
      <c r="IO83" t="e">
        <f>AND(Insects!F149,"AAAAAGr77Pg=")</f>
        <v>#VALUE!</v>
      </c>
      <c r="IP83" t="e">
        <f>AND(Insects!G149,"AAAAAGr77Pk=")</f>
        <v>#VALUE!</v>
      </c>
      <c r="IQ83" t="e">
        <f>AND(Insects!H149,"AAAAAGr77Po=")</f>
        <v>#VALUE!</v>
      </c>
      <c r="IR83" t="e">
        <f>AND(Insects!I149,"AAAAAGr77Ps=")</f>
        <v>#VALUE!</v>
      </c>
      <c r="IS83" t="e">
        <f>AND(Insects!J149,"AAAAAGr77Pw=")</f>
        <v>#VALUE!</v>
      </c>
      <c r="IT83" t="e">
        <f>AND(Insects!K149,"AAAAAGr77P0=")</f>
        <v>#VALUE!</v>
      </c>
      <c r="IU83" t="e">
        <f>AND(Insects!L149,"AAAAAGr77P4=")</f>
        <v>#VALUE!</v>
      </c>
      <c r="IV83" t="e">
        <f>AND(Insects!M149,"AAAAAGr77P8=")</f>
        <v>#VALUE!</v>
      </c>
    </row>
    <row r="84" spans="1:256">
      <c r="A84" t="e">
        <f>AND(Insects!N149,"AAAAAD453wA=")</f>
        <v>#VALUE!</v>
      </c>
      <c r="B84" t="e">
        <f>AND(Insects!O149,"AAAAAD453wE=")</f>
        <v>#VALUE!</v>
      </c>
      <c r="C84" t="e">
        <f>AND(Insects!P149,"AAAAAD453wI=")</f>
        <v>#VALUE!</v>
      </c>
      <c r="D84">
        <f>IF(Insects!150:150,"AAAAAD453wM=",0)</f>
        <v>0</v>
      </c>
      <c r="E84" t="e">
        <f>AND(Insects!A150,"AAAAAD453wQ=")</f>
        <v>#VALUE!</v>
      </c>
      <c r="F84" t="e">
        <f>AND(Insects!B150,"AAAAAD453wU=")</f>
        <v>#VALUE!</v>
      </c>
      <c r="G84" t="e">
        <f>AND(Insects!C150,"AAAAAD453wY=")</f>
        <v>#VALUE!</v>
      </c>
      <c r="H84" t="e">
        <f>AND(Insects!D150,"AAAAAD453wc=")</f>
        <v>#VALUE!</v>
      </c>
      <c r="I84" t="e">
        <f>AND(Insects!E150,"AAAAAD453wg=")</f>
        <v>#VALUE!</v>
      </c>
      <c r="J84" t="e">
        <f>AND(Insects!F150,"AAAAAD453wk=")</f>
        <v>#VALUE!</v>
      </c>
      <c r="K84" t="e">
        <f>AND(Insects!G150,"AAAAAD453wo=")</f>
        <v>#VALUE!</v>
      </c>
      <c r="L84" t="e">
        <f>AND(Insects!H150,"AAAAAD453ws=")</f>
        <v>#VALUE!</v>
      </c>
      <c r="M84" t="e">
        <f>AND(Insects!I150,"AAAAAD453ww=")</f>
        <v>#VALUE!</v>
      </c>
      <c r="N84" t="e">
        <f>AND(Insects!J150,"AAAAAD453w0=")</f>
        <v>#VALUE!</v>
      </c>
      <c r="O84" t="e">
        <f>AND(Insects!K150,"AAAAAD453w4=")</f>
        <v>#VALUE!</v>
      </c>
      <c r="P84" t="e">
        <f>AND(Insects!L150,"AAAAAD453w8=")</f>
        <v>#VALUE!</v>
      </c>
      <c r="Q84" t="e">
        <f>AND(Insects!M150,"AAAAAD453xA=")</f>
        <v>#VALUE!</v>
      </c>
      <c r="R84" t="e">
        <f>AND(Insects!N150,"AAAAAD453xE=")</f>
        <v>#VALUE!</v>
      </c>
      <c r="S84" t="e">
        <f>AND(Insects!O150,"AAAAAD453xI=")</f>
        <v>#VALUE!</v>
      </c>
      <c r="T84" t="e">
        <f>AND(Insects!P150,"AAAAAD453xM=")</f>
        <v>#VALUE!</v>
      </c>
      <c r="U84">
        <f>IF(Insects!151:151,"AAAAAD453xQ=",0)</f>
        <v>0</v>
      </c>
      <c r="V84" t="e">
        <f>AND(Insects!A151,"AAAAAD453xU=")</f>
        <v>#VALUE!</v>
      </c>
      <c r="W84" t="e">
        <f>AND(Insects!B151,"AAAAAD453xY=")</f>
        <v>#VALUE!</v>
      </c>
      <c r="X84" t="e">
        <f>AND(Insects!C151,"AAAAAD453xc=")</f>
        <v>#VALUE!</v>
      </c>
      <c r="Y84" t="e">
        <f>AND(Insects!D151,"AAAAAD453xg=")</f>
        <v>#VALUE!</v>
      </c>
      <c r="Z84" t="e">
        <f>AND(Insects!E151,"AAAAAD453xk=")</f>
        <v>#VALUE!</v>
      </c>
      <c r="AA84" t="e">
        <f>AND(Insects!F151,"AAAAAD453xo=")</f>
        <v>#VALUE!</v>
      </c>
      <c r="AB84" t="e">
        <f>AND(Insects!G151,"AAAAAD453xs=")</f>
        <v>#VALUE!</v>
      </c>
      <c r="AC84" t="e">
        <f>AND(Insects!H151,"AAAAAD453xw=")</f>
        <v>#VALUE!</v>
      </c>
      <c r="AD84" t="e">
        <f>AND(Insects!I151,"AAAAAD453x0=")</f>
        <v>#VALUE!</v>
      </c>
      <c r="AE84" t="e">
        <f>AND(Insects!J151,"AAAAAD453x4=")</f>
        <v>#VALUE!</v>
      </c>
      <c r="AF84" t="e">
        <f>AND(Insects!K151,"AAAAAD453x8=")</f>
        <v>#VALUE!</v>
      </c>
      <c r="AG84" t="e">
        <f>AND(Insects!L151,"AAAAAD453yA=")</f>
        <v>#VALUE!</v>
      </c>
      <c r="AH84" t="e">
        <f>AND(Insects!M151,"AAAAAD453yE=")</f>
        <v>#VALUE!</v>
      </c>
      <c r="AI84" t="e">
        <f>AND(Insects!N151,"AAAAAD453yI=")</f>
        <v>#VALUE!</v>
      </c>
      <c r="AJ84" t="e">
        <f>AND(Insects!O151,"AAAAAD453yM=")</f>
        <v>#VALUE!</v>
      </c>
      <c r="AK84" t="e">
        <f>AND(Insects!P151,"AAAAAD453yQ=")</f>
        <v>#VALUE!</v>
      </c>
      <c r="AL84">
        <f>IF(Insects!152:152,"AAAAAD453yU=",0)</f>
        <v>0</v>
      </c>
      <c r="AM84" t="e">
        <f>AND(Insects!A152,"AAAAAD453yY=")</f>
        <v>#VALUE!</v>
      </c>
      <c r="AN84" t="e">
        <f>AND(Insects!B152,"AAAAAD453yc=")</f>
        <v>#VALUE!</v>
      </c>
      <c r="AO84" t="e">
        <f>AND(Insects!C152,"AAAAAD453yg=")</f>
        <v>#VALUE!</v>
      </c>
      <c r="AP84" t="e">
        <f>AND(Insects!D152,"AAAAAD453yk=")</f>
        <v>#VALUE!</v>
      </c>
      <c r="AQ84" t="e">
        <f>AND(Insects!E152,"AAAAAD453yo=")</f>
        <v>#VALUE!</v>
      </c>
      <c r="AR84" t="e">
        <f>AND(Insects!F152,"AAAAAD453ys=")</f>
        <v>#VALUE!</v>
      </c>
      <c r="AS84" t="e">
        <f>AND(Insects!G152,"AAAAAD453yw=")</f>
        <v>#VALUE!</v>
      </c>
      <c r="AT84" t="e">
        <f>AND(Insects!H152,"AAAAAD453y0=")</f>
        <v>#VALUE!</v>
      </c>
      <c r="AU84" t="e">
        <f>AND(Insects!I152,"AAAAAD453y4=")</f>
        <v>#VALUE!</v>
      </c>
      <c r="AV84" t="e">
        <f>AND(Insects!J152,"AAAAAD453y8=")</f>
        <v>#VALUE!</v>
      </c>
      <c r="AW84" t="e">
        <f>AND(Insects!K152,"AAAAAD453zA=")</f>
        <v>#VALUE!</v>
      </c>
      <c r="AX84" t="e">
        <f>AND(Insects!L152,"AAAAAD453zE=")</f>
        <v>#VALUE!</v>
      </c>
      <c r="AY84" t="e">
        <f>AND(Insects!M152,"AAAAAD453zI=")</f>
        <v>#VALUE!</v>
      </c>
      <c r="AZ84" t="e">
        <f>AND(Insects!N152,"AAAAAD453zM=")</f>
        <v>#VALUE!</v>
      </c>
      <c r="BA84" t="e">
        <f>AND(Insects!O152,"AAAAAD453zQ=")</f>
        <v>#VALUE!</v>
      </c>
      <c r="BB84" t="e">
        <f>AND(Insects!P152,"AAAAAD453zU=")</f>
        <v>#VALUE!</v>
      </c>
      <c r="BC84">
        <f>IF(Insects!153:153,"AAAAAD453zY=",0)</f>
        <v>0</v>
      </c>
      <c r="BD84" t="e">
        <f>AND(Insects!A153,"AAAAAD453zc=")</f>
        <v>#VALUE!</v>
      </c>
      <c r="BE84" t="e">
        <f>AND(Insects!B153,"AAAAAD453zg=")</f>
        <v>#VALUE!</v>
      </c>
      <c r="BF84" t="e">
        <f>AND(Insects!C153,"AAAAAD453zk=")</f>
        <v>#VALUE!</v>
      </c>
      <c r="BG84" t="e">
        <f>AND(Insects!D153,"AAAAAD453zo=")</f>
        <v>#VALUE!</v>
      </c>
      <c r="BH84" t="e">
        <f>AND(Insects!E153,"AAAAAD453zs=")</f>
        <v>#VALUE!</v>
      </c>
      <c r="BI84" t="e">
        <f>AND(Insects!F153,"AAAAAD453zw=")</f>
        <v>#VALUE!</v>
      </c>
      <c r="BJ84" t="e">
        <f>AND(Insects!G153,"AAAAAD453z0=")</f>
        <v>#VALUE!</v>
      </c>
      <c r="BK84" t="e">
        <f>AND(Insects!H153,"AAAAAD453z4=")</f>
        <v>#VALUE!</v>
      </c>
      <c r="BL84" t="e">
        <f>AND(Insects!I153,"AAAAAD453z8=")</f>
        <v>#VALUE!</v>
      </c>
      <c r="BM84" t="e">
        <f>AND(Insects!J153,"AAAAAD4530A=")</f>
        <v>#VALUE!</v>
      </c>
      <c r="BN84" t="e">
        <f>AND(Insects!K153,"AAAAAD4530E=")</f>
        <v>#VALUE!</v>
      </c>
      <c r="BO84" t="e">
        <f>AND(Insects!L153,"AAAAAD4530I=")</f>
        <v>#VALUE!</v>
      </c>
      <c r="BP84" t="e">
        <f>AND(Insects!M153,"AAAAAD4530M=")</f>
        <v>#VALUE!</v>
      </c>
      <c r="BQ84" t="e">
        <f>AND(Insects!N153,"AAAAAD4530Q=")</f>
        <v>#VALUE!</v>
      </c>
      <c r="BR84" t="e">
        <f>AND(Insects!O153,"AAAAAD4530U=")</f>
        <v>#VALUE!</v>
      </c>
      <c r="BS84" t="e">
        <f>AND(Insects!P153,"AAAAAD4530Y=")</f>
        <v>#VALUE!</v>
      </c>
      <c r="BT84">
        <f>IF(Insects!154:154,"AAAAAD4530c=",0)</f>
        <v>0</v>
      </c>
      <c r="BU84" t="e">
        <f>AND(Insects!A154,"AAAAAD4530g=")</f>
        <v>#VALUE!</v>
      </c>
      <c r="BV84" t="e">
        <f>AND(Insects!B154,"AAAAAD4530k=")</f>
        <v>#VALUE!</v>
      </c>
      <c r="BW84" t="e">
        <f>AND(Insects!C154,"AAAAAD4530o=")</f>
        <v>#VALUE!</v>
      </c>
      <c r="BX84" t="e">
        <f>AND(Insects!D154,"AAAAAD4530s=")</f>
        <v>#VALUE!</v>
      </c>
      <c r="BY84" t="e">
        <f>AND(Insects!E154,"AAAAAD4530w=")</f>
        <v>#VALUE!</v>
      </c>
      <c r="BZ84" t="e">
        <f>AND(Insects!F154,"AAAAAD45300=")</f>
        <v>#VALUE!</v>
      </c>
      <c r="CA84" t="e">
        <f>AND(Insects!G154,"AAAAAD45304=")</f>
        <v>#VALUE!</v>
      </c>
      <c r="CB84" t="e">
        <f>AND(Insects!H154,"AAAAAD45308=")</f>
        <v>#VALUE!</v>
      </c>
      <c r="CC84" t="e">
        <f>AND(Insects!I154,"AAAAAD4531A=")</f>
        <v>#VALUE!</v>
      </c>
      <c r="CD84" t="e">
        <f>AND(Insects!J154,"AAAAAD4531E=")</f>
        <v>#VALUE!</v>
      </c>
      <c r="CE84" t="e">
        <f>AND(Insects!K154,"AAAAAD4531I=")</f>
        <v>#VALUE!</v>
      </c>
      <c r="CF84" t="e">
        <f>AND(Insects!L154,"AAAAAD4531M=")</f>
        <v>#VALUE!</v>
      </c>
      <c r="CG84" t="e">
        <f>AND(Insects!M154,"AAAAAD4531Q=")</f>
        <v>#VALUE!</v>
      </c>
      <c r="CH84" t="e">
        <f>AND(Insects!N154,"AAAAAD4531U=")</f>
        <v>#VALUE!</v>
      </c>
      <c r="CI84" t="e">
        <f>AND(Insects!O154,"AAAAAD4531Y=")</f>
        <v>#VALUE!</v>
      </c>
      <c r="CJ84" t="e">
        <f>AND(Insects!P154,"AAAAAD4531c=")</f>
        <v>#VALUE!</v>
      </c>
      <c r="CK84">
        <f>IF(Insects!155:155,"AAAAAD4531g=",0)</f>
        <v>0</v>
      </c>
      <c r="CL84" t="e">
        <f>AND(Insects!A155,"AAAAAD4531k=")</f>
        <v>#VALUE!</v>
      </c>
      <c r="CM84" t="e">
        <f>AND(Insects!B155,"AAAAAD4531o=")</f>
        <v>#VALUE!</v>
      </c>
      <c r="CN84" t="e">
        <f>AND(Insects!C155,"AAAAAD4531s=")</f>
        <v>#VALUE!</v>
      </c>
      <c r="CO84" t="e">
        <f>AND(Insects!D155,"AAAAAD4531w=")</f>
        <v>#VALUE!</v>
      </c>
      <c r="CP84" t="e">
        <f>AND(Insects!E155,"AAAAAD45310=")</f>
        <v>#VALUE!</v>
      </c>
      <c r="CQ84" t="e">
        <f>AND(Insects!F155,"AAAAAD45314=")</f>
        <v>#VALUE!</v>
      </c>
      <c r="CR84" t="e">
        <f>AND(Insects!G155,"AAAAAD45318=")</f>
        <v>#VALUE!</v>
      </c>
      <c r="CS84" t="e">
        <f>AND(Insects!H155,"AAAAAD4532A=")</f>
        <v>#VALUE!</v>
      </c>
      <c r="CT84" t="e">
        <f>AND(Insects!I155,"AAAAAD4532E=")</f>
        <v>#VALUE!</v>
      </c>
      <c r="CU84" t="e">
        <f>AND(Insects!J155,"AAAAAD4532I=")</f>
        <v>#VALUE!</v>
      </c>
      <c r="CV84" t="e">
        <f>AND(Insects!K155,"AAAAAD4532M=")</f>
        <v>#VALUE!</v>
      </c>
      <c r="CW84" t="e">
        <f>AND(Insects!L155,"AAAAAD4532Q=")</f>
        <v>#VALUE!</v>
      </c>
      <c r="CX84" t="e">
        <f>AND(Insects!M155,"AAAAAD4532U=")</f>
        <v>#VALUE!</v>
      </c>
      <c r="CY84" t="e">
        <f>AND(Insects!N155,"AAAAAD4532Y=")</f>
        <v>#VALUE!</v>
      </c>
      <c r="CZ84" t="e">
        <f>AND(Insects!O155,"AAAAAD4532c=")</f>
        <v>#VALUE!</v>
      </c>
      <c r="DA84" t="e">
        <f>AND(Insects!P155,"AAAAAD4532g=")</f>
        <v>#VALUE!</v>
      </c>
      <c r="DB84">
        <f>IF(Insects!156:156,"AAAAAD4532k=",0)</f>
        <v>0</v>
      </c>
      <c r="DC84" t="e">
        <f>AND(Insects!A156,"AAAAAD4532o=")</f>
        <v>#VALUE!</v>
      </c>
      <c r="DD84" t="e">
        <f>AND(Insects!B156,"AAAAAD4532s=")</f>
        <v>#VALUE!</v>
      </c>
      <c r="DE84" t="e">
        <f>AND(Insects!C156,"AAAAAD4532w=")</f>
        <v>#VALUE!</v>
      </c>
      <c r="DF84" t="e">
        <f>AND(Insects!D156,"AAAAAD45320=")</f>
        <v>#VALUE!</v>
      </c>
      <c r="DG84" t="e">
        <f>AND(Insects!E156,"AAAAAD45324=")</f>
        <v>#VALUE!</v>
      </c>
      <c r="DH84" t="e">
        <f>AND(Insects!F156,"AAAAAD45328=")</f>
        <v>#VALUE!</v>
      </c>
      <c r="DI84" t="e">
        <f>AND(Insects!G156,"AAAAAD4533A=")</f>
        <v>#VALUE!</v>
      </c>
      <c r="DJ84" t="e">
        <f>AND(Insects!H156,"AAAAAD4533E=")</f>
        <v>#VALUE!</v>
      </c>
      <c r="DK84" t="e">
        <f>AND(Insects!I156,"AAAAAD4533I=")</f>
        <v>#VALUE!</v>
      </c>
      <c r="DL84" t="e">
        <f>AND(Insects!J156,"AAAAAD4533M=")</f>
        <v>#VALUE!</v>
      </c>
      <c r="DM84" t="e">
        <f>AND(Insects!K156,"AAAAAD4533Q=")</f>
        <v>#VALUE!</v>
      </c>
      <c r="DN84" t="e">
        <f>AND(Insects!L156,"AAAAAD4533U=")</f>
        <v>#VALUE!</v>
      </c>
      <c r="DO84" t="e">
        <f>AND(Insects!M156,"AAAAAD4533Y=")</f>
        <v>#VALUE!</v>
      </c>
      <c r="DP84" t="e">
        <f>AND(Insects!N156,"AAAAAD4533c=")</f>
        <v>#VALUE!</v>
      </c>
      <c r="DQ84" t="e">
        <f>AND(Insects!O156,"AAAAAD4533g=")</f>
        <v>#VALUE!</v>
      </c>
      <c r="DR84" t="e">
        <f>AND(Insects!P156,"AAAAAD4533k=")</f>
        <v>#VALUE!</v>
      </c>
      <c r="DS84">
        <f>IF(Insects!157:157,"AAAAAD4533o=",0)</f>
        <v>0</v>
      </c>
      <c r="DT84" t="e">
        <f>AND(Insects!A157,"AAAAAD4533s=")</f>
        <v>#VALUE!</v>
      </c>
      <c r="DU84" t="e">
        <f>AND(Insects!B157,"AAAAAD4533w=")</f>
        <v>#VALUE!</v>
      </c>
      <c r="DV84" t="e">
        <f>AND(Insects!C157,"AAAAAD45330=")</f>
        <v>#VALUE!</v>
      </c>
      <c r="DW84" t="e">
        <f>AND(Insects!D157,"AAAAAD45334=")</f>
        <v>#VALUE!</v>
      </c>
      <c r="DX84" t="e">
        <f>AND(Insects!E157,"AAAAAD45338=")</f>
        <v>#VALUE!</v>
      </c>
      <c r="DY84" t="e">
        <f>AND(Insects!F157,"AAAAAD4534A=")</f>
        <v>#VALUE!</v>
      </c>
      <c r="DZ84" t="e">
        <f>AND(Insects!G157,"AAAAAD4534E=")</f>
        <v>#VALUE!</v>
      </c>
      <c r="EA84" t="e">
        <f>AND(Insects!H157,"AAAAAD4534I=")</f>
        <v>#VALUE!</v>
      </c>
      <c r="EB84" t="e">
        <f>AND(Insects!I157,"AAAAAD4534M=")</f>
        <v>#VALUE!</v>
      </c>
      <c r="EC84" t="e">
        <f>AND(Insects!J157,"AAAAAD4534Q=")</f>
        <v>#VALUE!</v>
      </c>
      <c r="ED84" t="e">
        <f>AND(Insects!K157,"AAAAAD4534U=")</f>
        <v>#VALUE!</v>
      </c>
      <c r="EE84" t="e">
        <f>AND(Insects!L157,"AAAAAD4534Y=")</f>
        <v>#VALUE!</v>
      </c>
      <c r="EF84" t="e">
        <f>AND(Insects!M157,"AAAAAD4534c=")</f>
        <v>#VALUE!</v>
      </c>
      <c r="EG84" t="e">
        <f>AND(Insects!N157,"AAAAAD4534g=")</f>
        <v>#VALUE!</v>
      </c>
      <c r="EH84" t="e">
        <f>AND(Insects!O157,"AAAAAD4534k=")</f>
        <v>#VALUE!</v>
      </c>
      <c r="EI84" t="e">
        <f>AND(Insects!P157,"AAAAAD4534o=")</f>
        <v>#VALUE!</v>
      </c>
      <c r="EJ84">
        <f>IF(Insects!158:158,"AAAAAD4534s=",0)</f>
        <v>0</v>
      </c>
      <c r="EK84" t="e">
        <f>AND(Insects!A158,"AAAAAD4534w=")</f>
        <v>#VALUE!</v>
      </c>
      <c r="EL84" t="e">
        <f>AND(Insects!B158,"AAAAAD45340=")</f>
        <v>#VALUE!</v>
      </c>
      <c r="EM84" t="e">
        <f>AND(Insects!C158,"AAAAAD45344=")</f>
        <v>#VALUE!</v>
      </c>
      <c r="EN84" t="e">
        <f>AND(Insects!D158,"AAAAAD45348=")</f>
        <v>#VALUE!</v>
      </c>
      <c r="EO84" t="e">
        <f>AND(Insects!E158,"AAAAAD4535A=")</f>
        <v>#VALUE!</v>
      </c>
      <c r="EP84" t="e">
        <f>AND(Insects!F158,"AAAAAD4535E=")</f>
        <v>#VALUE!</v>
      </c>
      <c r="EQ84" t="e">
        <f>AND(Insects!G158,"AAAAAD4535I=")</f>
        <v>#VALUE!</v>
      </c>
      <c r="ER84" t="e">
        <f>AND(Insects!H158,"AAAAAD4535M=")</f>
        <v>#VALUE!</v>
      </c>
      <c r="ES84" t="e">
        <f>AND(Insects!I158,"AAAAAD4535Q=")</f>
        <v>#VALUE!</v>
      </c>
      <c r="ET84" t="e">
        <f>AND(Insects!J158,"AAAAAD4535U=")</f>
        <v>#VALUE!</v>
      </c>
      <c r="EU84" t="e">
        <f>AND(Insects!K158,"AAAAAD4535Y=")</f>
        <v>#VALUE!</v>
      </c>
      <c r="EV84" t="e">
        <f>AND(Insects!L158,"AAAAAD4535c=")</f>
        <v>#VALUE!</v>
      </c>
      <c r="EW84" t="e">
        <f>AND(Insects!M158,"AAAAAD4535g=")</f>
        <v>#VALUE!</v>
      </c>
      <c r="EX84" t="e">
        <f>AND(Insects!N158,"AAAAAD4535k=")</f>
        <v>#VALUE!</v>
      </c>
      <c r="EY84" t="e">
        <f>AND(Insects!O158,"AAAAAD4535o=")</f>
        <v>#VALUE!</v>
      </c>
      <c r="EZ84" t="e">
        <f>AND(Insects!P158,"AAAAAD4535s=")</f>
        <v>#VALUE!</v>
      </c>
      <c r="FA84">
        <f>IF(Insects!159:159,"AAAAAD4535w=",0)</f>
        <v>0</v>
      </c>
      <c r="FB84" t="e">
        <f>AND(Insects!A159,"AAAAAD45350=")</f>
        <v>#VALUE!</v>
      </c>
      <c r="FC84" t="e">
        <f>AND(Insects!B159,"AAAAAD45354=")</f>
        <v>#VALUE!</v>
      </c>
      <c r="FD84" t="e">
        <f>AND(Insects!C159,"AAAAAD45358=")</f>
        <v>#VALUE!</v>
      </c>
      <c r="FE84" t="e">
        <f>AND(Insects!D159,"AAAAAD4536A=")</f>
        <v>#VALUE!</v>
      </c>
      <c r="FF84" t="e">
        <f>AND(Insects!E159,"AAAAAD4536E=")</f>
        <v>#VALUE!</v>
      </c>
      <c r="FG84" t="e">
        <f>AND(Insects!F159,"AAAAAD4536I=")</f>
        <v>#VALUE!</v>
      </c>
      <c r="FH84" t="e">
        <f>AND(Insects!G159,"AAAAAD4536M=")</f>
        <v>#VALUE!</v>
      </c>
      <c r="FI84" t="e">
        <f>AND(Insects!H159,"AAAAAD4536Q=")</f>
        <v>#VALUE!</v>
      </c>
      <c r="FJ84" t="e">
        <f>AND(Insects!I159,"AAAAAD4536U=")</f>
        <v>#VALUE!</v>
      </c>
      <c r="FK84" t="e">
        <f>AND(Insects!J159,"AAAAAD4536Y=")</f>
        <v>#VALUE!</v>
      </c>
      <c r="FL84" t="e">
        <f>AND(Insects!K159,"AAAAAD4536c=")</f>
        <v>#VALUE!</v>
      </c>
      <c r="FM84" t="e">
        <f>AND(Insects!L159,"AAAAAD4536g=")</f>
        <v>#VALUE!</v>
      </c>
      <c r="FN84" t="e">
        <f>AND(Insects!M159,"AAAAAD4536k=")</f>
        <v>#VALUE!</v>
      </c>
      <c r="FO84" t="e">
        <f>AND(Insects!N159,"AAAAAD4536o=")</f>
        <v>#VALUE!</v>
      </c>
      <c r="FP84" t="e">
        <f>AND(Insects!O159,"AAAAAD4536s=")</f>
        <v>#VALUE!</v>
      </c>
      <c r="FQ84" t="e">
        <f>AND(Insects!P159,"AAAAAD4536w=")</f>
        <v>#VALUE!</v>
      </c>
      <c r="FR84">
        <f>IF(Insects!160:160,"AAAAAD45360=",0)</f>
        <v>0</v>
      </c>
      <c r="FS84" t="e">
        <f>AND(Insects!A160,"AAAAAD45364=")</f>
        <v>#VALUE!</v>
      </c>
      <c r="FT84" t="e">
        <f>AND(Insects!B160,"AAAAAD45368=")</f>
        <v>#VALUE!</v>
      </c>
      <c r="FU84" t="e">
        <f>AND(Insects!C160,"AAAAAD4537A=")</f>
        <v>#VALUE!</v>
      </c>
      <c r="FV84" t="e">
        <f>AND(Insects!D160,"AAAAAD4537E=")</f>
        <v>#VALUE!</v>
      </c>
      <c r="FW84" t="e">
        <f>AND(Insects!E160,"AAAAAD4537I=")</f>
        <v>#VALUE!</v>
      </c>
      <c r="FX84" t="e">
        <f>AND(Insects!F160,"AAAAAD4537M=")</f>
        <v>#VALUE!</v>
      </c>
      <c r="FY84" t="e">
        <f>AND(Insects!G160,"AAAAAD4537Q=")</f>
        <v>#VALUE!</v>
      </c>
      <c r="FZ84" t="e">
        <f>AND(Insects!H160,"AAAAAD4537U=")</f>
        <v>#VALUE!</v>
      </c>
      <c r="GA84" t="e">
        <f>AND(Insects!I160,"AAAAAD4537Y=")</f>
        <v>#VALUE!</v>
      </c>
      <c r="GB84" t="e">
        <f>AND(Insects!J160,"AAAAAD4537c=")</f>
        <v>#VALUE!</v>
      </c>
      <c r="GC84" t="e">
        <f>AND(Insects!K160,"AAAAAD4537g=")</f>
        <v>#VALUE!</v>
      </c>
      <c r="GD84" t="e">
        <f>AND(Insects!L160,"AAAAAD4537k=")</f>
        <v>#VALUE!</v>
      </c>
      <c r="GE84" t="e">
        <f>AND(Insects!M160,"AAAAAD4537o=")</f>
        <v>#VALUE!</v>
      </c>
      <c r="GF84" t="e">
        <f>AND(Insects!N160,"AAAAAD4537s=")</f>
        <v>#VALUE!</v>
      </c>
      <c r="GG84" t="e">
        <f>AND(Insects!O160,"AAAAAD4537w=")</f>
        <v>#VALUE!</v>
      </c>
      <c r="GH84" t="e">
        <f>AND(Insects!P160,"AAAAAD45370=")</f>
        <v>#VALUE!</v>
      </c>
      <c r="GI84">
        <f>IF(Insects!161:161,"AAAAAD45374=",0)</f>
        <v>0</v>
      </c>
      <c r="GJ84" t="e">
        <f>AND(Insects!A161,"AAAAAD45378=")</f>
        <v>#VALUE!</v>
      </c>
      <c r="GK84" t="e">
        <f>AND(Insects!B161,"AAAAAD4538A=")</f>
        <v>#VALUE!</v>
      </c>
      <c r="GL84" t="e">
        <f>AND(Insects!C161,"AAAAAD4538E=")</f>
        <v>#VALUE!</v>
      </c>
      <c r="GM84" t="e">
        <f>AND(Insects!D161,"AAAAAD4538I=")</f>
        <v>#VALUE!</v>
      </c>
      <c r="GN84" t="e">
        <f>AND(Insects!E161,"AAAAAD4538M=")</f>
        <v>#VALUE!</v>
      </c>
      <c r="GO84" t="e">
        <f>AND(Insects!F161,"AAAAAD4538Q=")</f>
        <v>#VALUE!</v>
      </c>
      <c r="GP84" t="e">
        <f>AND(Insects!G161,"AAAAAD4538U=")</f>
        <v>#VALUE!</v>
      </c>
      <c r="GQ84" t="e">
        <f>AND(Insects!H161,"AAAAAD4538Y=")</f>
        <v>#VALUE!</v>
      </c>
      <c r="GR84" t="e">
        <f>AND(Insects!I161,"AAAAAD4538c=")</f>
        <v>#VALUE!</v>
      </c>
      <c r="GS84" t="e">
        <f>AND(Insects!J161,"AAAAAD4538g=")</f>
        <v>#VALUE!</v>
      </c>
      <c r="GT84" t="e">
        <f>AND(Insects!K161,"AAAAAD4538k=")</f>
        <v>#VALUE!</v>
      </c>
      <c r="GU84" t="e">
        <f>AND(Insects!L161,"AAAAAD4538o=")</f>
        <v>#VALUE!</v>
      </c>
      <c r="GV84" t="e">
        <f>AND(Insects!M161,"AAAAAD4538s=")</f>
        <v>#VALUE!</v>
      </c>
      <c r="GW84" t="e">
        <f>AND(Insects!N161,"AAAAAD4538w=")</f>
        <v>#VALUE!</v>
      </c>
      <c r="GX84" t="e">
        <f>AND(Insects!O161,"AAAAAD45380=")</f>
        <v>#VALUE!</v>
      </c>
      <c r="GY84" t="e">
        <f>AND(Insects!P161,"AAAAAD45384=")</f>
        <v>#VALUE!</v>
      </c>
      <c r="GZ84">
        <f>IF(Insects!162:162,"AAAAAD45388=",0)</f>
        <v>0</v>
      </c>
      <c r="HA84" t="e">
        <f>AND(Insects!A162,"AAAAAD4539A=")</f>
        <v>#VALUE!</v>
      </c>
      <c r="HB84" t="e">
        <f>AND(Insects!B162,"AAAAAD4539E=")</f>
        <v>#VALUE!</v>
      </c>
      <c r="HC84" t="e">
        <f>AND(Insects!C162,"AAAAAD4539I=")</f>
        <v>#VALUE!</v>
      </c>
      <c r="HD84" t="e">
        <f>AND(Insects!D162,"AAAAAD4539M=")</f>
        <v>#VALUE!</v>
      </c>
      <c r="HE84" t="e">
        <f>AND(Insects!E162,"AAAAAD4539Q=")</f>
        <v>#VALUE!</v>
      </c>
      <c r="HF84" t="e">
        <f>AND(Insects!F162,"AAAAAD4539U=")</f>
        <v>#VALUE!</v>
      </c>
      <c r="HG84" t="e">
        <f>AND(Insects!G162,"AAAAAD4539Y=")</f>
        <v>#VALUE!</v>
      </c>
      <c r="HH84" t="e">
        <f>AND(Insects!H162,"AAAAAD4539c=")</f>
        <v>#VALUE!</v>
      </c>
      <c r="HI84" t="e">
        <f>AND(Insects!I162,"AAAAAD4539g=")</f>
        <v>#VALUE!</v>
      </c>
      <c r="HJ84" t="e">
        <f>AND(Insects!J162,"AAAAAD4539k=")</f>
        <v>#VALUE!</v>
      </c>
      <c r="HK84" t="e">
        <f>AND(Insects!K162,"AAAAAD4539o=")</f>
        <v>#VALUE!</v>
      </c>
      <c r="HL84" t="e">
        <f>AND(Insects!L162,"AAAAAD4539s=")</f>
        <v>#VALUE!</v>
      </c>
      <c r="HM84" t="e">
        <f>AND(Insects!M162,"AAAAAD4539w=")</f>
        <v>#VALUE!</v>
      </c>
      <c r="HN84" t="e">
        <f>AND(Insects!N162,"AAAAAD45390=")</f>
        <v>#VALUE!</v>
      </c>
      <c r="HO84" t="e">
        <f>AND(Insects!O162,"AAAAAD45394=")</f>
        <v>#VALUE!</v>
      </c>
      <c r="HP84" t="e">
        <f>AND(Insects!P162,"AAAAAD45398=")</f>
        <v>#VALUE!</v>
      </c>
      <c r="HQ84">
        <f>IF(Insects!163:163,"AAAAAD453+A=",0)</f>
        <v>0</v>
      </c>
      <c r="HR84" t="e">
        <f>AND(Insects!A163,"AAAAAD453+E=")</f>
        <v>#VALUE!</v>
      </c>
      <c r="HS84" t="e">
        <f>AND(Insects!B163,"AAAAAD453+I=")</f>
        <v>#VALUE!</v>
      </c>
      <c r="HT84" t="e">
        <f>AND(Insects!C163,"AAAAAD453+M=")</f>
        <v>#VALUE!</v>
      </c>
      <c r="HU84" t="e">
        <f>AND(Insects!D163,"AAAAAD453+Q=")</f>
        <v>#VALUE!</v>
      </c>
      <c r="HV84" t="e">
        <f>AND(Insects!E163,"AAAAAD453+U=")</f>
        <v>#VALUE!</v>
      </c>
      <c r="HW84" t="e">
        <f>AND(Insects!F163,"AAAAAD453+Y=")</f>
        <v>#VALUE!</v>
      </c>
      <c r="HX84" t="e">
        <f>AND(Insects!G163,"AAAAAD453+c=")</f>
        <v>#VALUE!</v>
      </c>
      <c r="HY84" t="e">
        <f>AND(Insects!H163,"AAAAAD453+g=")</f>
        <v>#VALUE!</v>
      </c>
      <c r="HZ84" t="e">
        <f>AND(Insects!I163,"AAAAAD453+k=")</f>
        <v>#VALUE!</v>
      </c>
      <c r="IA84" t="e">
        <f>AND(Insects!J163,"AAAAAD453+o=")</f>
        <v>#VALUE!</v>
      </c>
      <c r="IB84" t="e">
        <f>AND(Insects!K163,"AAAAAD453+s=")</f>
        <v>#VALUE!</v>
      </c>
      <c r="IC84" t="e">
        <f>AND(Insects!L163,"AAAAAD453+w=")</f>
        <v>#VALUE!</v>
      </c>
      <c r="ID84" t="e">
        <f>AND(Insects!M163,"AAAAAD453+0=")</f>
        <v>#VALUE!</v>
      </c>
      <c r="IE84" t="e">
        <f>AND(Insects!N163,"AAAAAD453+4=")</f>
        <v>#VALUE!</v>
      </c>
      <c r="IF84" t="e">
        <f>AND(Insects!O163,"AAAAAD453+8=")</f>
        <v>#VALUE!</v>
      </c>
      <c r="IG84" t="e">
        <f>AND(Insects!P163,"AAAAAD453/A=")</f>
        <v>#VALUE!</v>
      </c>
      <c r="IH84">
        <f>IF(Insects!164:164,"AAAAAD453/E=",0)</f>
        <v>0</v>
      </c>
      <c r="II84" t="e">
        <f>AND(Insects!A164,"AAAAAD453/I=")</f>
        <v>#VALUE!</v>
      </c>
      <c r="IJ84" t="e">
        <f>AND(Insects!B164,"AAAAAD453/M=")</f>
        <v>#VALUE!</v>
      </c>
      <c r="IK84" t="e">
        <f>AND(Insects!C164,"AAAAAD453/Q=")</f>
        <v>#VALUE!</v>
      </c>
      <c r="IL84" t="e">
        <f>AND(Insects!D164,"AAAAAD453/U=")</f>
        <v>#VALUE!</v>
      </c>
      <c r="IM84" t="e">
        <f>AND(Insects!E164,"AAAAAD453/Y=")</f>
        <v>#VALUE!</v>
      </c>
      <c r="IN84" t="e">
        <f>AND(Insects!F164,"AAAAAD453/c=")</f>
        <v>#VALUE!</v>
      </c>
      <c r="IO84" t="e">
        <f>AND(Insects!G164,"AAAAAD453/g=")</f>
        <v>#VALUE!</v>
      </c>
      <c r="IP84" t="e">
        <f>AND(Insects!H164,"AAAAAD453/k=")</f>
        <v>#VALUE!</v>
      </c>
      <c r="IQ84" t="e">
        <f>AND(Insects!I164,"AAAAAD453/o=")</f>
        <v>#VALUE!</v>
      </c>
      <c r="IR84" t="e">
        <f>AND(Insects!J164,"AAAAAD453/s=")</f>
        <v>#VALUE!</v>
      </c>
      <c r="IS84" t="e">
        <f>AND(Insects!K164,"AAAAAD453/w=")</f>
        <v>#VALUE!</v>
      </c>
      <c r="IT84" t="e">
        <f>AND(Insects!L164,"AAAAAD453/0=")</f>
        <v>#VALUE!</v>
      </c>
      <c r="IU84" t="e">
        <f>AND(Insects!M164,"AAAAAD453/4=")</f>
        <v>#VALUE!</v>
      </c>
      <c r="IV84" t="e">
        <f>AND(Insects!N164,"AAAAAD453/8=")</f>
        <v>#VALUE!</v>
      </c>
    </row>
    <row r="85" spans="1:256">
      <c r="A85" t="e">
        <f>AND(Insects!O164,"AAAAAHn5fwA=")</f>
        <v>#VALUE!</v>
      </c>
      <c r="B85" t="e">
        <f>AND(Insects!P164,"AAAAAHn5fwE=")</f>
        <v>#VALUE!</v>
      </c>
      <c r="C85" t="e">
        <f>IF(Insects!165:165,"AAAAAHn5fwI=",0)</f>
        <v>#VALUE!</v>
      </c>
      <c r="D85" t="e">
        <f>AND(Insects!A165,"AAAAAHn5fwM=")</f>
        <v>#VALUE!</v>
      </c>
      <c r="E85" t="e">
        <f>AND(Insects!B165,"AAAAAHn5fwQ=")</f>
        <v>#VALUE!</v>
      </c>
      <c r="F85" t="e">
        <f>AND(Insects!C165,"AAAAAHn5fwU=")</f>
        <v>#VALUE!</v>
      </c>
      <c r="G85" t="e">
        <f>AND(Insects!D165,"AAAAAHn5fwY=")</f>
        <v>#VALUE!</v>
      </c>
      <c r="H85" t="e">
        <f>AND(Insects!E165,"AAAAAHn5fwc=")</f>
        <v>#VALUE!</v>
      </c>
      <c r="I85" t="e">
        <f>AND(Insects!F165,"AAAAAHn5fwg=")</f>
        <v>#VALUE!</v>
      </c>
      <c r="J85" t="e">
        <f>AND(Insects!G165,"AAAAAHn5fwk=")</f>
        <v>#VALUE!</v>
      </c>
      <c r="K85" t="e">
        <f>AND(Insects!H165,"AAAAAHn5fwo=")</f>
        <v>#VALUE!</v>
      </c>
      <c r="L85" t="e">
        <f>AND(Insects!I165,"AAAAAHn5fws=")</f>
        <v>#VALUE!</v>
      </c>
      <c r="M85" t="e">
        <f>AND(Insects!J165,"AAAAAHn5fww=")</f>
        <v>#VALUE!</v>
      </c>
      <c r="N85" t="e">
        <f>AND(Insects!K165,"AAAAAHn5fw0=")</f>
        <v>#VALUE!</v>
      </c>
      <c r="O85" t="e">
        <f>AND(Insects!L165,"AAAAAHn5fw4=")</f>
        <v>#VALUE!</v>
      </c>
      <c r="P85" t="e">
        <f>AND(Insects!M165,"AAAAAHn5fw8=")</f>
        <v>#VALUE!</v>
      </c>
      <c r="Q85" t="e">
        <f>AND(Insects!N165,"AAAAAHn5fxA=")</f>
        <v>#VALUE!</v>
      </c>
      <c r="R85" t="e">
        <f>AND(Insects!O165,"AAAAAHn5fxE=")</f>
        <v>#VALUE!</v>
      </c>
      <c r="S85" t="e">
        <f>AND(Insects!P165,"AAAAAHn5fxI=")</f>
        <v>#VALUE!</v>
      </c>
      <c r="T85">
        <f>IF(Insects!166:166,"AAAAAHn5fxM=",0)</f>
        <v>0</v>
      </c>
      <c r="U85" t="e">
        <f>AND(Insects!A166,"AAAAAHn5fxQ=")</f>
        <v>#VALUE!</v>
      </c>
      <c r="V85" t="e">
        <f>AND(Insects!B166,"AAAAAHn5fxU=")</f>
        <v>#VALUE!</v>
      </c>
      <c r="W85" t="e">
        <f>AND(Insects!C166,"AAAAAHn5fxY=")</f>
        <v>#VALUE!</v>
      </c>
      <c r="X85" t="e">
        <f>AND(Insects!D166,"AAAAAHn5fxc=")</f>
        <v>#VALUE!</v>
      </c>
      <c r="Y85" t="e">
        <f>AND(Insects!E166,"AAAAAHn5fxg=")</f>
        <v>#VALUE!</v>
      </c>
      <c r="Z85" t="e">
        <f>AND(Insects!F166,"AAAAAHn5fxk=")</f>
        <v>#VALUE!</v>
      </c>
      <c r="AA85" t="e">
        <f>AND(Insects!G166,"AAAAAHn5fxo=")</f>
        <v>#VALUE!</v>
      </c>
      <c r="AB85" t="e">
        <f>AND(Insects!H166,"AAAAAHn5fxs=")</f>
        <v>#VALUE!</v>
      </c>
      <c r="AC85" t="e">
        <f>AND(Insects!I166,"AAAAAHn5fxw=")</f>
        <v>#VALUE!</v>
      </c>
      <c r="AD85" t="e">
        <f>AND(Insects!J166,"AAAAAHn5fx0=")</f>
        <v>#VALUE!</v>
      </c>
      <c r="AE85" t="e">
        <f>AND(Insects!K166,"AAAAAHn5fx4=")</f>
        <v>#VALUE!</v>
      </c>
      <c r="AF85" t="e">
        <f>AND(Insects!L166,"AAAAAHn5fx8=")</f>
        <v>#VALUE!</v>
      </c>
      <c r="AG85" t="e">
        <f>AND(Insects!M166,"AAAAAHn5fyA=")</f>
        <v>#VALUE!</v>
      </c>
      <c r="AH85" t="e">
        <f>AND(Insects!N166,"AAAAAHn5fyE=")</f>
        <v>#VALUE!</v>
      </c>
      <c r="AI85" t="e">
        <f>AND(Insects!O166,"AAAAAHn5fyI=")</f>
        <v>#VALUE!</v>
      </c>
      <c r="AJ85" t="e">
        <f>AND(Insects!P166,"AAAAAHn5fyM=")</f>
        <v>#VALUE!</v>
      </c>
      <c r="AK85">
        <f>IF(Insects!167:167,"AAAAAHn5fyQ=",0)</f>
        <v>0</v>
      </c>
      <c r="AL85" t="e">
        <f>AND(Insects!A167,"AAAAAHn5fyU=")</f>
        <v>#VALUE!</v>
      </c>
      <c r="AM85" t="e">
        <f>AND(Insects!B167,"AAAAAHn5fyY=")</f>
        <v>#VALUE!</v>
      </c>
      <c r="AN85" t="e">
        <f>AND(Insects!C167,"AAAAAHn5fyc=")</f>
        <v>#VALUE!</v>
      </c>
      <c r="AO85" t="e">
        <f>AND(Insects!D167,"AAAAAHn5fyg=")</f>
        <v>#VALUE!</v>
      </c>
      <c r="AP85" t="e">
        <f>AND(Insects!E167,"AAAAAHn5fyk=")</f>
        <v>#VALUE!</v>
      </c>
      <c r="AQ85" t="e">
        <f>AND(Insects!F167,"AAAAAHn5fyo=")</f>
        <v>#VALUE!</v>
      </c>
      <c r="AR85" t="e">
        <f>AND(Insects!G167,"AAAAAHn5fys=")</f>
        <v>#VALUE!</v>
      </c>
      <c r="AS85" t="e">
        <f>AND(Insects!H167,"AAAAAHn5fyw=")</f>
        <v>#VALUE!</v>
      </c>
      <c r="AT85" t="e">
        <f>AND(Insects!I167,"AAAAAHn5fy0=")</f>
        <v>#VALUE!</v>
      </c>
      <c r="AU85" t="e">
        <f>AND(Insects!J167,"AAAAAHn5fy4=")</f>
        <v>#VALUE!</v>
      </c>
      <c r="AV85" t="e">
        <f>AND(Insects!K167,"AAAAAHn5fy8=")</f>
        <v>#VALUE!</v>
      </c>
      <c r="AW85" t="e">
        <f>AND(Insects!L167,"AAAAAHn5fzA=")</f>
        <v>#VALUE!</v>
      </c>
      <c r="AX85" t="e">
        <f>AND(Insects!M167,"AAAAAHn5fzE=")</f>
        <v>#VALUE!</v>
      </c>
      <c r="AY85" t="e">
        <f>AND(Insects!N167,"AAAAAHn5fzI=")</f>
        <v>#VALUE!</v>
      </c>
      <c r="AZ85" t="e">
        <f>AND(Insects!O167,"AAAAAHn5fzM=")</f>
        <v>#VALUE!</v>
      </c>
      <c r="BA85" t="e">
        <f>AND(Insects!P167,"AAAAAHn5fzQ=")</f>
        <v>#VALUE!</v>
      </c>
      <c r="BB85">
        <f>IF(Insects!168:168,"AAAAAHn5fzU=",0)</f>
        <v>0</v>
      </c>
      <c r="BC85" t="e">
        <f>AND(Insects!A168,"AAAAAHn5fzY=")</f>
        <v>#VALUE!</v>
      </c>
      <c r="BD85" t="e">
        <f>AND(Insects!B168,"AAAAAHn5fzc=")</f>
        <v>#VALUE!</v>
      </c>
      <c r="BE85" t="e">
        <f>AND(Insects!C168,"AAAAAHn5fzg=")</f>
        <v>#VALUE!</v>
      </c>
      <c r="BF85" t="e">
        <f>AND(Insects!D168,"AAAAAHn5fzk=")</f>
        <v>#VALUE!</v>
      </c>
      <c r="BG85" t="e">
        <f>AND(Insects!E168,"AAAAAHn5fzo=")</f>
        <v>#VALUE!</v>
      </c>
      <c r="BH85" t="e">
        <f>AND(Insects!F168,"AAAAAHn5fzs=")</f>
        <v>#VALUE!</v>
      </c>
      <c r="BI85" t="e">
        <f>AND(Insects!G168,"AAAAAHn5fzw=")</f>
        <v>#VALUE!</v>
      </c>
      <c r="BJ85" t="e">
        <f>AND(Insects!H168,"AAAAAHn5fz0=")</f>
        <v>#VALUE!</v>
      </c>
      <c r="BK85" t="e">
        <f>AND(Insects!I168,"AAAAAHn5fz4=")</f>
        <v>#VALUE!</v>
      </c>
      <c r="BL85" t="e">
        <f>AND(Insects!J168,"AAAAAHn5fz8=")</f>
        <v>#VALUE!</v>
      </c>
      <c r="BM85" t="e">
        <f>AND(Insects!K168,"AAAAAHn5f0A=")</f>
        <v>#VALUE!</v>
      </c>
      <c r="BN85" t="e">
        <f>AND(Insects!L168,"AAAAAHn5f0E=")</f>
        <v>#VALUE!</v>
      </c>
      <c r="BO85" t="e">
        <f>AND(Insects!M168,"AAAAAHn5f0I=")</f>
        <v>#VALUE!</v>
      </c>
      <c r="BP85" t="e">
        <f>AND(Insects!N168,"AAAAAHn5f0M=")</f>
        <v>#VALUE!</v>
      </c>
      <c r="BQ85" t="e">
        <f>AND(Insects!O168,"AAAAAHn5f0Q=")</f>
        <v>#VALUE!</v>
      </c>
      <c r="BR85" t="e">
        <f>AND(Insects!P168,"AAAAAHn5f0U=")</f>
        <v>#VALUE!</v>
      </c>
      <c r="BS85">
        <f>IF(Insects!169:169,"AAAAAHn5f0Y=",0)</f>
        <v>0</v>
      </c>
      <c r="BT85" t="e">
        <f>AND(Insects!A169,"AAAAAHn5f0c=")</f>
        <v>#VALUE!</v>
      </c>
      <c r="BU85" t="e">
        <f>AND(Insects!B169,"AAAAAHn5f0g=")</f>
        <v>#VALUE!</v>
      </c>
      <c r="BV85" t="e">
        <f>AND(Insects!C169,"AAAAAHn5f0k=")</f>
        <v>#VALUE!</v>
      </c>
      <c r="BW85" t="e">
        <f>AND(Insects!D169,"AAAAAHn5f0o=")</f>
        <v>#VALUE!</v>
      </c>
      <c r="BX85" t="e">
        <f>AND(Insects!E169,"AAAAAHn5f0s=")</f>
        <v>#VALUE!</v>
      </c>
      <c r="BY85" t="e">
        <f>AND(Insects!F169,"AAAAAHn5f0w=")</f>
        <v>#VALUE!</v>
      </c>
      <c r="BZ85" t="e">
        <f>AND(Insects!G169,"AAAAAHn5f00=")</f>
        <v>#VALUE!</v>
      </c>
      <c r="CA85" t="e">
        <f>AND(Insects!H169,"AAAAAHn5f04=")</f>
        <v>#VALUE!</v>
      </c>
      <c r="CB85" t="e">
        <f>AND(Insects!I169,"AAAAAHn5f08=")</f>
        <v>#VALUE!</v>
      </c>
      <c r="CC85" t="e">
        <f>AND(Insects!J169,"AAAAAHn5f1A=")</f>
        <v>#VALUE!</v>
      </c>
      <c r="CD85" t="e">
        <f>AND(Insects!K169,"AAAAAHn5f1E=")</f>
        <v>#VALUE!</v>
      </c>
      <c r="CE85" t="e">
        <f>AND(Insects!L169,"AAAAAHn5f1I=")</f>
        <v>#VALUE!</v>
      </c>
      <c r="CF85" t="e">
        <f>AND(Insects!M169,"AAAAAHn5f1M=")</f>
        <v>#VALUE!</v>
      </c>
      <c r="CG85" t="e">
        <f>AND(Insects!N169,"AAAAAHn5f1Q=")</f>
        <v>#VALUE!</v>
      </c>
      <c r="CH85" t="e">
        <f>AND(Insects!O169,"AAAAAHn5f1U=")</f>
        <v>#VALUE!</v>
      </c>
      <c r="CI85" t="e">
        <f>AND(Insects!P169,"AAAAAHn5f1Y=")</f>
        <v>#VALUE!</v>
      </c>
      <c r="CJ85">
        <f>IF(Insects!170:170,"AAAAAHn5f1c=",0)</f>
        <v>0</v>
      </c>
      <c r="CK85" t="e">
        <f>AND(Insects!A170,"AAAAAHn5f1g=")</f>
        <v>#VALUE!</v>
      </c>
      <c r="CL85" t="e">
        <f>AND(Insects!B170,"AAAAAHn5f1k=")</f>
        <v>#VALUE!</v>
      </c>
      <c r="CM85" t="e">
        <f>AND(Insects!C170,"AAAAAHn5f1o=")</f>
        <v>#VALUE!</v>
      </c>
      <c r="CN85" t="e">
        <f>AND(Insects!D170,"AAAAAHn5f1s=")</f>
        <v>#VALUE!</v>
      </c>
      <c r="CO85" t="e">
        <f>AND(Insects!E170,"AAAAAHn5f1w=")</f>
        <v>#VALUE!</v>
      </c>
      <c r="CP85" t="e">
        <f>AND(Insects!F170,"AAAAAHn5f10=")</f>
        <v>#VALUE!</v>
      </c>
      <c r="CQ85" t="e">
        <f>AND(Insects!G170,"AAAAAHn5f14=")</f>
        <v>#VALUE!</v>
      </c>
      <c r="CR85" t="e">
        <f>AND(Insects!H170,"AAAAAHn5f18=")</f>
        <v>#VALUE!</v>
      </c>
      <c r="CS85" t="e">
        <f>AND(Insects!I170,"AAAAAHn5f2A=")</f>
        <v>#VALUE!</v>
      </c>
      <c r="CT85" t="e">
        <f>AND(Insects!J170,"AAAAAHn5f2E=")</f>
        <v>#VALUE!</v>
      </c>
      <c r="CU85" t="e">
        <f>AND(Insects!K170,"AAAAAHn5f2I=")</f>
        <v>#VALUE!</v>
      </c>
      <c r="CV85" t="e">
        <f>AND(Insects!L170,"AAAAAHn5f2M=")</f>
        <v>#VALUE!</v>
      </c>
      <c r="CW85" t="e">
        <f>AND(Insects!M170,"AAAAAHn5f2Q=")</f>
        <v>#VALUE!</v>
      </c>
      <c r="CX85" t="e">
        <f>AND(Insects!N170,"AAAAAHn5f2U=")</f>
        <v>#VALUE!</v>
      </c>
      <c r="CY85" t="e">
        <f>AND(Insects!O170,"AAAAAHn5f2Y=")</f>
        <v>#VALUE!</v>
      </c>
      <c r="CZ85" t="e">
        <f>AND(Insects!P170,"AAAAAHn5f2c=")</f>
        <v>#VALUE!</v>
      </c>
      <c r="DA85">
        <f>IF(Insects!171:171,"AAAAAHn5f2g=",0)</f>
        <v>0</v>
      </c>
      <c r="DB85" t="e">
        <f>AND(Insects!A171,"AAAAAHn5f2k=")</f>
        <v>#VALUE!</v>
      </c>
      <c r="DC85" t="e">
        <f>AND(Insects!B171,"AAAAAHn5f2o=")</f>
        <v>#VALUE!</v>
      </c>
      <c r="DD85" t="e">
        <f>AND(Insects!C171,"AAAAAHn5f2s=")</f>
        <v>#VALUE!</v>
      </c>
      <c r="DE85" t="e">
        <f>AND(Insects!D171,"AAAAAHn5f2w=")</f>
        <v>#VALUE!</v>
      </c>
      <c r="DF85" t="e">
        <f>AND(Insects!E171,"AAAAAHn5f20=")</f>
        <v>#VALUE!</v>
      </c>
      <c r="DG85" t="e">
        <f>AND(Insects!F171,"AAAAAHn5f24=")</f>
        <v>#VALUE!</v>
      </c>
      <c r="DH85" t="e">
        <f>AND(Insects!G171,"AAAAAHn5f28=")</f>
        <v>#VALUE!</v>
      </c>
      <c r="DI85" t="e">
        <f>AND(Insects!H171,"AAAAAHn5f3A=")</f>
        <v>#VALUE!</v>
      </c>
      <c r="DJ85" t="e">
        <f>AND(Insects!I171,"AAAAAHn5f3E=")</f>
        <v>#VALUE!</v>
      </c>
      <c r="DK85" t="e">
        <f>AND(Insects!J171,"AAAAAHn5f3I=")</f>
        <v>#VALUE!</v>
      </c>
      <c r="DL85" t="e">
        <f>AND(Insects!K171,"AAAAAHn5f3M=")</f>
        <v>#VALUE!</v>
      </c>
      <c r="DM85" t="e">
        <f>AND(Insects!L171,"AAAAAHn5f3Q=")</f>
        <v>#VALUE!</v>
      </c>
      <c r="DN85" t="e">
        <f>AND(Insects!M171,"AAAAAHn5f3U=")</f>
        <v>#VALUE!</v>
      </c>
      <c r="DO85" t="e">
        <f>AND(Insects!N171,"AAAAAHn5f3Y=")</f>
        <v>#VALUE!</v>
      </c>
      <c r="DP85" t="e">
        <f>AND(Insects!O171,"AAAAAHn5f3c=")</f>
        <v>#VALUE!</v>
      </c>
      <c r="DQ85" t="e">
        <f>AND(Insects!P171,"AAAAAHn5f3g=")</f>
        <v>#VALUE!</v>
      </c>
      <c r="DR85">
        <f>IF(Insects!172:172,"AAAAAHn5f3k=",0)</f>
        <v>0</v>
      </c>
      <c r="DS85" t="e">
        <f>AND(Insects!A172,"AAAAAHn5f3o=")</f>
        <v>#VALUE!</v>
      </c>
      <c r="DT85" t="e">
        <f>AND(Insects!B172,"AAAAAHn5f3s=")</f>
        <v>#VALUE!</v>
      </c>
      <c r="DU85" t="e">
        <f>AND(Insects!C172,"AAAAAHn5f3w=")</f>
        <v>#VALUE!</v>
      </c>
      <c r="DV85" t="e">
        <f>AND(Insects!D172,"AAAAAHn5f30=")</f>
        <v>#VALUE!</v>
      </c>
      <c r="DW85" t="e">
        <f>AND(Insects!E172,"AAAAAHn5f34=")</f>
        <v>#VALUE!</v>
      </c>
      <c r="DX85" t="e">
        <f>AND(Insects!F172,"AAAAAHn5f38=")</f>
        <v>#VALUE!</v>
      </c>
      <c r="DY85" t="e">
        <f>AND(Insects!G172,"AAAAAHn5f4A=")</f>
        <v>#VALUE!</v>
      </c>
      <c r="DZ85" t="e">
        <f>AND(Insects!H172,"AAAAAHn5f4E=")</f>
        <v>#VALUE!</v>
      </c>
      <c r="EA85" t="e">
        <f>AND(Insects!I172,"AAAAAHn5f4I=")</f>
        <v>#VALUE!</v>
      </c>
      <c r="EB85" t="e">
        <f>AND(Insects!J172,"AAAAAHn5f4M=")</f>
        <v>#VALUE!</v>
      </c>
      <c r="EC85" t="e">
        <f>AND(Insects!K172,"AAAAAHn5f4Q=")</f>
        <v>#VALUE!</v>
      </c>
      <c r="ED85" t="e">
        <f>AND(Insects!L172,"AAAAAHn5f4U=")</f>
        <v>#VALUE!</v>
      </c>
      <c r="EE85" t="e">
        <f>AND(Insects!M172,"AAAAAHn5f4Y=")</f>
        <v>#VALUE!</v>
      </c>
      <c r="EF85" t="e">
        <f>AND(Insects!N172,"AAAAAHn5f4c=")</f>
        <v>#VALUE!</v>
      </c>
      <c r="EG85" t="e">
        <f>AND(Insects!O172,"AAAAAHn5f4g=")</f>
        <v>#VALUE!</v>
      </c>
      <c r="EH85" t="e">
        <f>AND(Insects!P172,"AAAAAHn5f4k=")</f>
        <v>#VALUE!</v>
      </c>
      <c r="EI85">
        <f>IF(Insects!173:173,"AAAAAHn5f4o=",0)</f>
        <v>0</v>
      </c>
      <c r="EJ85" t="e">
        <f>AND(Insects!A173,"AAAAAHn5f4s=")</f>
        <v>#VALUE!</v>
      </c>
      <c r="EK85" t="e">
        <f>AND(Insects!B173,"AAAAAHn5f4w=")</f>
        <v>#VALUE!</v>
      </c>
      <c r="EL85" t="e">
        <f>AND(Insects!C173,"AAAAAHn5f40=")</f>
        <v>#VALUE!</v>
      </c>
      <c r="EM85" t="e">
        <f>AND(Insects!D173,"AAAAAHn5f44=")</f>
        <v>#VALUE!</v>
      </c>
      <c r="EN85" t="e">
        <f>AND(Insects!E173,"AAAAAHn5f48=")</f>
        <v>#VALUE!</v>
      </c>
      <c r="EO85" t="e">
        <f>AND(Insects!F173,"AAAAAHn5f5A=")</f>
        <v>#VALUE!</v>
      </c>
      <c r="EP85" t="e">
        <f>AND(Insects!G173,"AAAAAHn5f5E=")</f>
        <v>#VALUE!</v>
      </c>
      <c r="EQ85" t="e">
        <f>AND(Insects!H173,"AAAAAHn5f5I=")</f>
        <v>#VALUE!</v>
      </c>
      <c r="ER85" t="e">
        <f>AND(Insects!I173,"AAAAAHn5f5M=")</f>
        <v>#VALUE!</v>
      </c>
      <c r="ES85" t="e">
        <f>AND(Insects!J173,"AAAAAHn5f5Q=")</f>
        <v>#VALUE!</v>
      </c>
      <c r="ET85" t="e">
        <f>AND(Insects!K173,"AAAAAHn5f5U=")</f>
        <v>#VALUE!</v>
      </c>
      <c r="EU85" t="e">
        <f>AND(Insects!L173,"AAAAAHn5f5Y=")</f>
        <v>#VALUE!</v>
      </c>
      <c r="EV85" t="e">
        <f>AND(Insects!M173,"AAAAAHn5f5c=")</f>
        <v>#VALUE!</v>
      </c>
      <c r="EW85" t="e">
        <f>AND(Insects!N173,"AAAAAHn5f5g=")</f>
        <v>#VALUE!</v>
      </c>
      <c r="EX85" t="e">
        <f>AND(Insects!O173,"AAAAAHn5f5k=")</f>
        <v>#VALUE!</v>
      </c>
      <c r="EY85" t="e">
        <f>AND(Insects!P173,"AAAAAHn5f5o=")</f>
        <v>#VALUE!</v>
      </c>
      <c r="EZ85">
        <f>IF(Insects!174:174,"AAAAAHn5f5s=",0)</f>
        <v>0</v>
      </c>
      <c r="FA85" t="e">
        <f>AND(Insects!A174,"AAAAAHn5f5w=")</f>
        <v>#VALUE!</v>
      </c>
      <c r="FB85" t="e">
        <f>AND(Insects!B174,"AAAAAHn5f50=")</f>
        <v>#VALUE!</v>
      </c>
      <c r="FC85" t="e">
        <f>AND(Insects!C174,"AAAAAHn5f54=")</f>
        <v>#VALUE!</v>
      </c>
      <c r="FD85" t="e">
        <f>AND(Insects!D174,"AAAAAHn5f58=")</f>
        <v>#VALUE!</v>
      </c>
      <c r="FE85" t="e">
        <f>AND(Insects!E174,"AAAAAHn5f6A=")</f>
        <v>#VALUE!</v>
      </c>
      <c r="FF85" t="e">
        <f>AND(Insects!F174,"AAAAAHn5f6E=")</f>
        <v>#VALUE!</v>
      </c>
      <c r="FG85" t="e">
        <f>AND(Insects!G174,"AAAAAHn5f6I=")</f>
        <v>#VALUE!</v>
      </c>
      <c r="FH85" t="e">
        <f>AND(Insects!H174,"AAAAAHn5f6M=")</f>
        <v>#VALUE!</v>
      </c>
      <c r="FI85" t="e">
        <f>AND(Insects!I174,"AAAAAHn5f6Q=")</f>
        <v>#VALUE!</v>
      </c>
      <c r="FJ85" t="e">
        <f>AND(Insects!J174,"AAAAAHn5f6U=")</f>
        <v>#VALUE!</v>
      </c>
      <c r="FK85" t="e">
        <f>AND(Insects!K174,"AAAAAHn5f6Y=")</f>
        <v>#VALUE!</v>
      </c>
      <c r="FL85" t="e">
        <f>AND(Insects!L174,"AAAAAHn5f6c=")</f>
        <v>#VALUE!</v>
      </c>
      <c r="FM85" t="e">
        <f>AND(Insects!M174,"AAAAAHn5f6g=")</f>
        <v>#VALUE!</v>
      </c>
      <c r="FN85" t="e">
        <f>AND(Insects!N174,"AAAAAHn5f6k=")</f>
        <v>#VALUE!</v>
      </c>
      <c r="FO85" t="e">
        <f>AND(Insects!O174,"AAAAAHn5f6o=")</f>
        <v>#VALUE!</v>
      </c>
      <c r="FP85" t="e">
        <f>AND(Insects!P174,"AAAAAHn5f6s=")</f>
        <v>#VALUE!</v>
      </c>
      <c r="FQ85">
        <f>IF(Insects!175:175,"AAAAAHn5f6w=",0)</f>
        <v>0</v>
      </c>
      <c r="FR85" t="e">
        <f>AND(Insects!A175,"AAAAAHn5f60=")</f>
        <v>#VALUE!</v>
      </c>
      <c r="FS85" t="e">
        <f>AND(Insects!B175,"AAAAAHn5f64=")</f>
        <v>#VALUE!</v>
      </c>
      <c r="FT85" t="e">
        <f>AND(Insects!C175,"AAAAAHn5f68=")</f>
        <v>#VALUE!</v>
      </c>
      <c r="FU85" t="e">
        <f>AND(Insects!D175,"AAAAAHn5f7A=")</f>
        <v>#VALUE!</v>
      </c>
      <c r="FV85" t="e">
        <f>AND(Insects!E175,"AAAAAHn5f7E=")</f>
        <v>#VALUE!</v>
      </c>
      <c r="FW85" t="e">
        <f>AND(Insects!F175,"AAAAAHn5f7I=")</f>
        <v>#VALUE!</v>
      </c>
      <c r="FX85" t="e">
        <f>AND(Insects!G175,"AAAAAHn5f7M=")</f>
        <v>#VALUE!</v>
      </c>
      <c r="FY85" t="e">
        <f>AND(Insects!H175,"AAAAAHn5f7Q=")</f>
        <v>#VALUE!</v>
      </c>
      <c r="FZ85" t="e">
        <f>AND(Insects!I175,"AAAAAHn5f7U=")</f>
        <v>#VALUE!</v>
      </c>
      <c r="GA85" t="e">
        <f>AND(Insects!J175,"AAAAAHn5f7Y=")</f>
        <v>#VALUE!</v>
      </c>
      <c r="GB85" t="e">
        <f>AND(Insects!K175,"AAAAAHn5f7c=")</f>
        <v>#VALUE!</v>
      </c>
      <c r="GC85" t="e">
        <f>AND(Insects!L175,"AAAAAHn5f7g=")</f>
        <v>#VALUE!</v>
      </c>
      <c r="GD85" t="e">
        <f>AND(Insects!M175,"AAAAAHn5f7k=")</f>
        <v>#VALUE!</v>
      </c>
      <c r="GE85" t="e">
        <f>AND(Insects!N175,"AAAAAHn5f7o=")</f>
        <v>#VALUE!</v>
      </c>
      <c r="GF85" t="e">
        <f>AND(Insects!O175,"AAAAAHn5f7s=")</f>
        <v>#VALUE!</v>
      </c>
      <c r="GG85" t="e">
        <f>AND(Insects!P175,"AAAAAHn5f7w=")</f>
        <v>#VALUE!</v>
      </c>
      <c r="GH85">
        <f>IF(Insects!176:176,"AAAAAHn5f70=",0)</f>
        <v>0</v>
      </c>
      <c r="GI85" t="e">
        <f>AND(Insects!A176,"AAAAAHn5f74=")</f>
        <v>#VALUE!</v>
      </c>
      <c r="GJ85" t="e">
        <f>AND(Insects!B176,"AAAAAHn5f78=")</f>
        <v>#VALUE!</v>
      </c>
      <c r="GK85" t="e">
        <f>AND(Insects!C176,"AAAAAHn5f8A=")</f>
        <v>#VALUE!</v>
      </c>
      <c r="GL85" t="e">
        <f>AND(Insects!D176,"AAAAAHn5f8E=")</f>
        <v>#VALUE!</v>
      </c>
      <c r="GM85" t="e">
        <f>AND(Insects!E176,"AAAAAHn5f8I=")</f>
        <v>#VALUE!</v>
      </c>
      <c r="GN85" t="e">
        <f>AND(Insects!F176,"AAAAAHn5f8M=")</f>
        <v>#VALUE!</v>
      </c>
      <c r="GO85" t="e">
        <f>AND(Insects!G176,"AAAAAHn5f8Q=")</f>
        <v>#VALUE!</v>
      </c>
      <c r="GP85" t="e">
        <f>AND(Insects!H176,"AAAAAHn5f8U=")</f>
        <v>#VALUE!</v>
      </c>
      <c r="GQ85" t="e">
        <f>AND(Insects!I176,"AAAAAHn5f8Y=")</f>
        <v>#VALUE!</v>
      </c>
      <c r="GR85" t="e">
        <f>AND(Insects!J176,"AAAAAHn5f8c=")</f>
        <v>#VALUE!</v>
      </c>
      <c r="GS85" t="e">
        <f>AND(Insects!K176,"AAAAAHn5f8g=")</f>
        <v>#VALUE!</v>
      </c>
      <c r="GT85" t="e">
        <f>AND(Insects!L176,"AAAAAHn5f8k=")</f>
        <v>#VALUE!</v>
      </c>
      <c r="GU85" t="e">
        <f>AND(Insects!M176,"AAAAAHn5f8o=")</f>
        <v>#VALUE!</v>
      </c>
      <c r="GV85" t="e">
        <f>AND(Insects!N176,"AAAAAHn5f8s=")</f>
        <v>#VALUE!</v>
      </c>
      <c r="GW85" t="e">
        <f>AND(Insects!O176,"AAAAAHn5f8w=")</f>
        <v>#VALUE!</v>
      </c>
      <c r="GX85" t="e">
        <f>AND(Insects!P176,"AAAAAHn5f80=")</f>
        <v>#VALUE!</v>
      </c>
      <c r="GY85">
        <f>IF(Insects!177:177,"AAAAAHn5f84=",0)</f>
        <v>0</v>
      </c>
      <c r="GZ85" t="e">
        <f>AND(Insects!A177,"AAAAAHn5f88=")</f>
        <v>#VALUE!</v>
      </c>
      <c r="HA85" t="e">
        <f>AND(Insects!B177,"AAAAAHn5f9A=")</f>
        <v>#VALUE!</v>
      </c>
      <c r="HB85" t="e">
        <f>AND(Insects!C177,"AAAAAHn5f9E=")</f>
        <v>#VALUE!</v>
      </c>
      <c r="HC85" t="e">
        <f>AND(Insects!D177,"AAAAAHn5f9I=")</f>
        <v>#VALUE!</v>
      </c>
      <c r="HD85" t="e">
        <f>AND(Insects!E177,"AAAAAHn5f9M=")</f>
        <v>#VALUE!</v>
      </c>
      <c r="HE85" t="e">
        <f>AND(Insects!F177,"AAAAAHn5f9Q=")</f>
        <v>#VALUE!</v>
      </c>
      <c r="HF85" t="e">
        <f>AND(Insects!G177,"AAAAAHn5f9U=")</f>
        <v>#VALUE!</v>
      </c>
      <c r="HG85" t="e">
        <f>AND(Insects!H177,"AAAAAHn5f9Y=")</f>
        <v>#VALUE!</v>
      </c>
      <c r="HH85" t="e">
        <f>AND(Insects!I177,"AAAAAHn5f9c=")</f>
        <v>#VALUE!</v>
      </c>
      <c r="HI85" t="e">
        <f>AND(Insects!J177,"AAAAAHn5f9g=")</f>
        <v>#VALUE!</v>
      </c>
      <c r="HJ85" t="e">
        <f>AND(Insects!K177,"AAAAAHn5f9k=")</f>
        <v>#VALUE!</v>
      </c>
      <c r="HK85" t="e">
        <f>AND(Insects!L177,"AAAAAHn5f9o=")</f>
        <v>#VALUE!</v>
      </c>
      <c r="HL85" t="e">
        <f>AND(Insects!M177,"AAAAAHn5f9s=")</f>
        <v>#VALUE!</v>
      </c>
      <c r="HM85" t="e">
        <f>AND(Insects!N177,"AAAAAHn5f9w=")</f>
        <v>#VALUE!</v>
      </c>
      <c r="HN85" t="e">
        <f>AND(Insects!O177,"AAAAAHn5f90=")</f>
        <v>#VALUE!</v>
      </c>
      <c r="HO85" t="e">
        <f>AND(Insects!P177,"AAAAAHn5f94=")</f>
        <v>#VALUE!</v>
      </c>
      <c r="HP85">
        <f>IF(Insects!178:178,"AAAAAHn5f98=",0)</f>
        <v>0</v>
      </c>
      <c r="HQ85" t="e">
        <f>AND(Insects!A178,"AAAAAHn5f+A=")</f>
        <v>#VALUE!</v>
      </c>
      <c r="HR85" t="e">
        <f>AND(Insects!B178,"AAAAAHn5f+E=")</f>
        <v>#VALUE!</v>
      </c>
      <c r="HS85" t="e">
        <f>AND(Insects!C178,"AAAAAHn5f+I=")</f>
        <v>#VALUE!</v>
      </c>
      <c r="HT85" t="e">
        <f>AND(Insects!D178,"AAAAAHn5f+M=")</f>
        <v>#VALUE!</v>
      </c>
      <c r="HU85" t="e">
        <f>AND(Insects!E178,"AAAAAHn5f+Q=")</f>
        <v>#VALUE!</v>
      </c>
      <c r="HV85" t="e">
        <f>AND(Insects!F178,"AAAAAHn5f+U=")</f>
        <v>#VALUE!</v>
      </c>
      <c r="HW85" t="e">
        <f>AND(Insects!G178,"AAAAAHn5f+Y=")</f>
        <v>#VALUE!</v>
      </c>
      <c r="HX85" t="e">
        <f>AND(Insects!H178,"AAAAAHn5f+c=")</f>
        <v>#VALUE!</v>
      </c>
      <c r="HY85" t="e">
        <f>AND(Insects!I178,"AAAAAHn5f+g=")</f>
        <v>#VALUE!</v>
      </c>
      <c r="HZ85" t="e">
        <f>AND(Insects!J178,"AAAAAHn5f+k=")</f>
        <v>#VALUE!</v>
      </c>
      <c r="IA85" t="e">
        <f>AND(Insects!K178,"AAAAAHn5f+o=")</f>
        <v>#VALUE!</v>
      </c>
      <c r="IB85" t="e">
        <f>AND(Insects!L178,"AAAAAHn5f+s=")</f>
        <v>#VALUE!</v>
      </c>
      <c r="IC85" t="e">
        <f>AND(Insects!M178,"AAAAAHn5f+w=")</f>
        <v>#VALUE!</v>
      </c>
      <c r="ID85" t="e">
        <f>AND(Insects!N178,"AAAAAHn5f+0=")</f>
        <v>#VALUE!</v>
      </c>
      <c r="IE85" t="e">
        <f>AND(Insects!O178,"AAAAAHn5f+4=")</f>
        <v>#VALUE!</v>
      </c>
      <c r="IF85" t="e">
        <f>AND(Insects!P178,"AAAAAHn5f+8=")</f>
        <v>#VALUE!</v>
      </c>
      <c r="IG85">
        <f>IF(Insects!179:179,"AAAAAHn5f/A=",0)</f>
        <v>0</v>
      </c>
      <c r="IH85" t="e">
        <f>AND(Insects!A179,"AAAAAHn5f/E=")</f>
        <v>#VALUE!</v>
      </c>
      <c r="II85" t="e">
        <f>AND(Insects!B179,"AAAAAHn5f/I=")</f>
        <v>#VALUE!</v>
      </c>
      <c r="IJ85" t="e">
        <f>AND(Insects!C179,"AAAAAHn5f/M=")</f>
        <v>#VALUE!</v>
      </c>
      <c r="IK85" t="e">
        <f>AND(Insects!D179,"AAAAAHn5f/Q=")</f>
        <v>#VALUE!</v>
      </c>
      <c r="IL85" t="e">
        <f>AND(Insects!E179,"AAAAAHn5f/U=")</f>
        <v>#VALUE!</v>
      </c>
      <c r="IM85" t="e">
        <f>AND(Insects!F179,"AAAAAHn5f/Y=")</f>
        <v>#VALUE!</v>
      </c>
      <c r="IN85" t="e">
        <f>AND(Insects!G179,"AAAAAHn5f/c=")</f>
        <v>#VALUE!</v>
      </c>
      <c r="IO85" t="e">
        <f>AND(Insects!H179,"AAAAAHn5f/g=")</f>
        <v>#VALUE!</v>
      </c>
      <c r="IP85" t="e">
        <f>AND(Insects!I179,"AAAAAHn5f/k=")</f>
        <v>#VALUE!</v>
      </c>
      <c r="IQ85" t="e">
        <f>AND(Insects!J179,"AAAAAHn5f/o=")</f>
        <v>#VALUE!</v>
      </c>
      <c r="IR85" t="e">
        <f>AND(Insects!K179,"AAAAAHn5f/s=")</f>
        <v>#VALUE!</v>
      </c>
      <c r="IS85" t="e">
        <f>AND(Insects!L179,"AAAAAHn5f/w=")</f>
        <v>#VALUE!</v>
      </c>
      <c r="IT85" t="e">
        <f>AND(Insects!M179,"AAAAAHn5f/0=")</f>
        <v>#VALUE!</v>
      </c>
      <c r="IU85" t="e">
        <f>AND(Insects!N179,"AAAAAHn5f/4=")</f>
        <v>#VALUE!</v>
      </c>
      <c r="IV85" t="e">
        <f>AND(Insects!O179,"AAAAAHn5f/8=")</f>
        <v>#VALUE!</v>
      </c>
    </row>
    <row r="86" spans="1:256">
      <c r="A86" t="e">
        <f>AND(Insects!P179,"AAAAAH6f/gA=")</f>
        <v>#VALUE!</v>
      </c>
      <c r="B86" t="e">
        <f>IF(Insects!180:180,"AAAAAH6f/gE=",0)</f>
        <v>#VALUE!</v>
      </c>
      <c r="C86" t="e">
        <f>AND(Insects!A180,"AAAAAH6f/gI=")</f>
        <v>#VALUE!</v>
      </c>
      <c r="D86" t="e">
        <f>AND(Insects!B180,"AAAAAH6f/gM=")</f>
        <v>#VALUE!</v>
      </c>
      <c r="E86" t="e">
        <f>AND(Insects!C180,"AAAAAH6f/gQ=")</f>
        <v>#VALUE!</v>
      </c>
      <c r="F86" t="e">
        <f>AND(Insects!D180,"AAAAAH6f/gU=")</f>
        <v>#VALUE!</v>
      </c>
      <c r="G86" t="e">
        <f>AND(Insects!E180,"AAAAAH6f/gY=")</f>
        <v>#VALUE!</v>
      </c>
      <c r="H86" t="e">
        <f>AND(Insects!F180,"AAAAAH6f/gc=")</f>
        <v>#VALUE!</v>
      </c>
      <c r="I86" t="e">
        <f>AND(Insects!G180,"AAAAAH6f/gg=")</f>
        <v>#VALUE!</v>
      </c>
      <c r="J86" t="e">
        <f>AND(Insects!H180,"AAAAAH6f/gk=")</f>
        <v>#VALUE!</v>
      </c>
      <c r="K86" t="e">
        <f>AND(Insects!I180,"AAAAAH6f/go=")</f>
        <v>#VALUE!</v>
      </c>
      <c r="L86" t="e">
        <f>AND(Insects!J180,"AAAAAH6f/gs=")</f>
        <v>#VALUE!</v>
      </c>
      <c r="M86" t="e">
        <f>AND(Insects!K180,"AAAAAH6f/gw=")</f>
        <v>#VALUE!</v>
      </c>
      <c r="N86" t="e">
        <f>AND(Insects!L180,"AAAAAH6f/g0=")</f>
        <v>#VALUE!</v>
      </c>
      <c r="O86" t="e">
        <f>AND(Insects!M180,"AAAAAH6f/g4=")</f>
        <v>#VALUE!</v>
      </c>
      <c r="P86" t="e">
        <f>AND(Insects!N180,"AAAAAH6f/g8=")</f>
        <v>#VALUE!</v>
      </c>
      <c r="Q86" t="e">
        <f>AND(Insects!O180,"AAAAAH6f/hA=")</f>
        <v>#VALUE!</v>
      </c>
      <c r="R86" t="e">
        <f>AND(Insects!P180,"AAAAAH6f/hE=")</f>
        <v>#VALUE!</v>
      </c>
      <c r="S86">
        <f>IF(Insects!181:181,"AAAAAH6f/hI=",0)</f>
        <v>0</v>
      </c>
      <c r="T86" t="e">
        <f>AND(Insects!A181,"AAAAAH6f/hM=")</f>
        <v>#VALUE!</v>
      </c>
      <c r="U86" t="e">
        <f>AND(Insects!B181,"AAAAAH6f/hQ=")</f>
        <v>#VALUE!</v>
      </c>
      <c r="V86" t="e">
        <f>AND(Insects!C181,"AAAAAH6f/hU=")</f>
        <v>#VALUE!</v>
      </c>
      <c r="W86" t="e">
        <f>AND(Insects!D181,"AAAAAH6f/hY=")</f>
        <v>#VALUE!</v>
      </c>
      <c r="X86" t="e">
        <f>AND(Insects!E181,"AAAAAH6f/hc=")</f>
        <v>#VALUE!</v>
      </c>
      <c r="Y86" t="e">
        <f>AND(Insects!F181,"AAAAAH6f/hg=")</f>
        <v>#VALUE!</v>
      </c>
      <c r="Z86" t="e">
        <f>AND(Insects!G181,"AAAAAH6f/hk=")</f>
        <v>#VALUE!</v>
      </c>
      <c r="AA86" t="e">
        <f>AND(Insects!H181,"AAAAAH6f/ho=")</f>
        <v>#VALUE!</v>
      </c>
      <c r="AB86" t="e">
        <f>AND(Insects!I181,"AAAAAH6f/hs=")</f>
        <v>#VALUE!</v>
      </c>
      <c r="AC86" t="e">
        <f>AND(Insects!J181,"AAAAAH6f/hw=")</f>
        <v>#VALUE!</v>
      </c>
      <c r="AD86" t="e">
        <f>AND(Insects!K181,"AAAAAH6f/h0=")</f>
        <v>#VALUE!</v>
      </c>
      <c r="AE86" t="e">
        <f>AND(Insects!L181,"AAAAAH6f/h4=")</f>
        <v>#VALUE!</v>
      </c>
      <c r="AF86" t="e">
        <f>AND(Insects!M181,"AAAAAH6f/h8=")</f>
        <v>#VALUE!</v>
      </c>
      <c r="AG86" t="e">
        <f>AND(Insects!N181,"AAAAAH6f/iA=")</f>
        <v>#VALUE!</v>
      </c>
      <c r="AH86" t="e">
        <f>AND(Insects!O181,"AAAAAH6f/iE=")</f>
        <v>#VALUE!</v>
      </c>
      <c r="AI86" t="e">
        <f>AND(Insects!P181,"AAAAAH6f/iI=")</f>
        <v>#VALUE!</v>
      </c>
      <c r="AJ86">
        <f>IF(Insects!182:182,"AAAAAH6f/iM=",0)</f>
        <v>0</v>
      </c>
      <c r="AK86" t="e">
        <f>AND(Insects!A182,"AAAAAH6f/iQ=")</f>
        <v>#VALUE!</v>
      </c>
      <c r="AL86" t="e">
        <f>AND(Insects!B182,"AAAAAH6f/iU=")</f>
        <v>#VALUE!</v>
      </c>
      <c r="AM86" t="e">
        <f>AND(Insects!C182,"AAAAAH6f/iY=")</f>
        <v>#VALUE!</v>
      </c>
      <c r="AN86" t="e">
        <f>AND(Insects!D182,"AAAAAH6f/ic=")</f>
        <v>#VALUE!</v>
      </c>
      <c r="AO86" t="e">
        <f>AND(Insects!E182,"AAAAAH6f/ig=")</f>
        <v>#VALUE!</v>
      </c>
      <c r="AP86" t="e">
        <f>AND(Insects!F182,"AAAAAH6f/ik=")</f>
        <v>#VALUE!</v>
      </c>
      <c r="AQ86" t="e">
        <f>AND(Insects!G182,"AAAAAH6f/io=")</f>
        <v>#VALUE!</v>
      </c>
      <c r="AR86" t="e">
        <f>AND(Insects!H182,"AAAAAH6f/is=")</f>
        <v>#VALUE!</v>
      </c>
      <c r="AS86" t="e">
        <f>AND(Insects!I182,"AAAAAH6f/iw=")</f>
        <v>#VALUE!</v>
      </c>
      <c r="AT86" t="e">
        <f>AND(Insects!J182,"AAAAAH6f/i0=")</f>
        <v>#VALUE!</v>
      </c>
      <c r="AU86" t="e">
        <f>AND(Insects!K182,"AAAAAH6f/i4=")</f>
        <v>#VALUE!</v>
      </c>
      <c r="AV86" t="e">
        <f>AND(Insects!L182,"AAAAAH6f/i8=")</f>
        <v>#VALUE!</v>
      </c>
      <c r="AW86" t="e">
        <f>AND(Insects!M182,"AAAAAH6f/jA=")</f>
        <v>#VALUE!</v>
      </c>
      <c r="AX86" t="e">
        <f>AND(Insects!N182,"AAAAAH6f/jE=")</f>
        <v>#VALUE!</v>
      </c>
      <c r="AY86" t="e">
        <f>AND(Insects!O182,"AAAAAH6f/jI=")</f>
        <v>#VALUE!</v>
      </c>
      <c r="AZ86" t="e">
        <f>AND(Insects!P182,"AAAAAH6f/jM=")</f>
        <v>#VALUE!</v>
      </c>
      <c r="BA86">
        <f>IF(Insects!183:183,"AAAAAH6f/jQ=",0)</f>
        <v>0</v>
      </c>
      <c r="BB86" t="e">
        <f>AND(Insects!A183,"AAAAAH6f/jU=")</f>
        <v>#VALUE!</v>
      </c>
      <c r="BC86" t="e">
        <f>AND(Insects!B183,"AAAAAH6f/jY=")</f>
        <v>#VALUE!</v>
      </c>
      <c r="BD86" t="e">
        <f>AND(Insects!C183,"AAAAAH6f/jc=")</f>
        <v>#VALUE!</v>
      </c>
      <c r="BE86" t="e">
        <f>AND(Insects!D183,"AAAAAH6f/jg=")</f>
        <v>#VALUE!</v>
      </c>
      <c r="BF86" t="e">
        <f>AND(Insects!E183,"AAAAAH6f/jk=")</f>
        <v>#VALUE!</v>
      </c>
      <c r="BG86" t="e">
        <f>AND(Insects!F183,"AAAAAH6f/jo=")</f>
        <v>#VALUE!</v>
      </c>
      <c r="BH86" t="e">
        <f>AND(Insects!G183,"AAAAAH6f/js=")</f>
        <v>#VALUE!</v>
      </c>
      <c r="BI86" t="e">
        <f>AND(Insects!H183,"AAAAAH6f/jw=")</f>
        <v>#VALUE!</v>
      </c>
      <c r="BJ86" t="e">
        <f>AND(Insects!I183,"AAAAAH6f/j0=")</f>
        <v>#VALUE!</v>
      </c>
      <c r="BK86" t="e">
        <f>AND(Insects!J183,"AAAAAH6f/j4=")</f>
        <v>#VALUE!</v>
      </c>
      <c r="BL86" t="e">
        <f>AND(Insects!K183,"AAAAAH6f/j8=")</f>
        <v>#VALUE!</v>
      </c>
      <c r="BM86" t="e">
        <f>AND(Insects!L183,"AAAAAH6f/kA=")</f>
        <v>#VALUE!</v>
      </c>
      <c r="BN86" t="e">
        <f>AND(Insects!M183,"AAAAAH6f/kE=")</f>
        <v>#VALUE!</v>
      </c>
      <c r="BO86" t="e">
        <f>AND(Insects!N183,"AAAAAH6f/kI=")</f>
        <v>#VALUE!</v>
      </c>
      <c r="BP86" t="e">
        <f>AND(Insects!O183,"AAAAAH6f/kM=")</f>
        <v>#VALUE!</v>
      </c>
      <c r="BQ86" t="e">
        <f>AND(Insects!P183,"AAAAAH6f/kQ=")</f>
        <v>#VALUE!</v>
      </c>
      <c r="BR86">
        <f>IF(Insects!184:184,"AAAAAH6f/kU=",0)</f>
        <v>0</v>
      </c>
      <c r="BS86" t="e">
        <f>AND(Insects!A184,"AAAAAH6f/kY=")</f>
        <v>#VALUE!</v>
      </c>
      <c r="BT86" t="e">
        <f>AND(Insects!B184,"AAAAAH6f/kc=")</f>
        <v>#VALUE!</v>
      </c>
      <c r="BU86" t="e">
        <f>AND(Insects!C184,"AAAAAH6f/kg=")</f>
        <v>#VALUE!</v>
      </c>
      <c r="BV86" t="e">
        <f>AND(Insects!D184,"AAAAAH6f/kk=")</f>
        <v>#VALUE!</v>
      </c>
      <c r="BW86" t="e">
        <f>AND(Insects!E184,"AAAAAH6f/ko=")</f>
        <v>#VALUE!</v>
      </c>
      <c r="BX86" t="e">
        <f>AND(Insects!F184,"AAAAAH6f/ks=")</f>
        <v>#VALUE!</v>
      </c>
      <c r="BY86" t="e">
        <f>AND(Insects!G184,"AAAAAH6f/kw=")</f>
        <v>#VALUE!</v>
      </c>
      <c r="BZ86" t="e">
        <f>AND(Insects!H184,"AAAAAH6f/k0=")</f>
        <v>#VALUE!</v>
      </c>
      <c r="CA86" t="e">
        <f>AND(Insects!I184,"AAAAAH6f/k4=")</f>
        <v>#VALUE!</v>
      </c>
      <c r="CB86" t="e">
        <f>AND(Insects!J184,"AAAAAH6f/k8=")</f>
        <v>#VALUE!</v>
      </c>
      <c r="CC86" t="e">
        <f>AND(Insects!K184,"AAAAAH6f/lA=")</f>
        <v>#VALUE!</v>
      </c>
      <c r="CD86" t="e">
        <f>AND(Insects!L184,"AAAAAH6f/lE=")</f>
        <v>#VALUE!</v>
      </c>
      <c r="CE86" t="e">
        <f>AND(Insects!M184,"AAAAAH6f/lI=")</f>
        <v>#VALUE!</v>
      </c>
      <c r="CF86" t="e">
        <f>AND(Insects!N184,"AAAAAH6f/lM=")</f>
        <v>#VALUE!</v>
      </c>
      <c r="CG86" t="e">
        <f>AND(Insects!O184,"AAAAAH6f/lQ=")</f>
        <v>#VALUE!</v>
      </c>
      <c r="CH86" t="e">
        <f>AND(Insects!P184,"AAAAAH6f/lU=")</f>
        <v>#VALUE!</v>
      </c>
      <c r="CI86">
        <f>IF(Insects!185:185,"AAAAAH6f/lY=",0)</f>
        <v>0</v>
      </c>
      <c r="CJ86" t="e">
        <f>AND(Insects!A185,"AAAAAH6f/lc=")</f>
        <v>#VALUE!</v>
      </c>
      <c r="CK86" t="e">
        <f>AND(Insects!B185,"AAAAAH6f/lg=")</f>
        <v>#VALUE!</v>
      </c>
      <c r="CL86" t="e">
        <f>AND(Insects!C185,"AAAAAH6f/lk=")</f>
        <v>#VALUE!</v>
      </c>
      <c r="CM86" t="e">
        <f>AND(Insects!D185,"AAAAAH6f/lo=")</f>
        <v>#VALUE!</v>
      </c>
      <c r="CN86" t="e">
        <f>AND(Insects!E185,"AAAAAH6f/ls=")</f>
        <v>#VALUE!</v>
      </c>
      <c r="CO86" t="e">
        <f>AND(Insects!F185,"AAAAAH6f/lw=")</f>
        <v>#VALUE!</v>
      </c>
      <c r="CP86" t="e">
        <f>AND(Insects!G185,"AAAAAH6f/l0=")</f>
        <v>#VALUE!</v>
      </c>
      <c r="CQ86" t="e">
        <f>AND(Insects!H185,"AAAAAH6f/l4=")</f>
        <v>#VALUE!</v>
      </c>
      <c r="CR86" t="e">
        <f>AND(Insects!I185,"AAAAAH6f/l8=")</f>
        <v>#VALUE!</v>
      </c>
      <c r="CS86" t="e">
        <f>AND(Insects!J185,"AAAAAH6f/mA=")</f>
        <v>#VALUE!</v>
      </c>
      <c r="CT86" t="e">
        <f>AND(Insects!K185,"AAAAAH6f/mE=")</f>
        <v>#VALUE!</v>
      </c>
      <c r="CU86" t="e">
        <f>AND(Insects!L185,"AAAAAH6f/mI=")</f>
        <v>#VALUE!</v>
      </c>
      <c r="CV86" t="e">
        <f>AND(Insects!M185,"AAAAAH6f/mM=")</f>
        <v>#VALUE!</v>
      </c>
      <c r="CW86" t="e">
        <f>AND(Insects!N185,"AAAAAH6f/mQ=")</f>
        <v>#VALUE!</v>
      </c>
      <c r="CX86" t="e">
        <f>AND(Insects!O185,"AAAAAH6f/mU=")</f>
        <v>#VALUE!</v>
      </c>
      <c r="CY86" t="e">
        <f>AND(Insects!P185,"AAAAAH6f/mY=")</f>
        <v>#VALUE!</v>
      </c>
      <c r="CZ86">
        <f>IF(Insects!186:186,"AAAAAH6f/mc=",0)</f>
        <v>0</v>
      </c>
      <c r="DA86" t="e">
        <f>AND(Insects!A186,"AAAAAH6f/mg=")</f>
        <v>#VALUE!</v>
      </c>
      <c r="DB86" t="e">
        <f>AND(Insects!B186,"AAAAAH6f/mk=")</f>
        <v>#VALUE!</v>
      </c>
      <c r="DC86" t="e">
        <f>AND(Insects!C186,"AAAAAH6f/mo=")</f>
        <v>#VALUE!</v>
      </c>
      <c r="DD86" t="e">
        <f>AND(Insects!D186,"AAAAAH6f/ms=")</f>
        <v>#VALUE!</v>
      </c>
      <c r="DE86" t="e">
        <f>AND(Insects!E186,"AAAAAH6f/mw=")</f>
        <v>#VALUE!</v>
      </c>
      <c r="DF86" t="e">
        <f>AND(Insects!F186,"AAAAAH6f/m0=")</f>
        <v>#VALUE!</v>
      </c>
      <c r="DG86" t="e">
        <f>AND(Insects!G186,"AAAAAH6f/m4=")</f>
        <v>#VALUE!</v>
      </c>
      <c r="DH86" t="e">
        <f>AND(Insects!H186,"AAAAAH6f/m8=")</f>
        <v>#VALUE!</v>
      </c>
      <c r="DI86" t="e">
        <f>AND(Insects!I186,"AAAAAH6f/nA=")</f>
        <v>#VALUE!</v>
      </c>
      <c r="DJ86" t="e">
        <f>AND(Insects!J186,"AAAAAH6f/nE=")</f>
        <v>#VALUE!</v>
      </c>
      <c r="DK86" t="e">
        <f>AND(Insects!K186,"AAAAAH6f/nI=")</f>
        <v>#VALUE!</v>
      </c>
      <c r="DL86" t="e">
        <f>AND(Insects!L186,"AAAAAH6f/nM=")</f>
        <v>#VALUE!</v>
      </c>
      <c r="DM86" t="e">
        <f>AND(Insects!M186,"AAAAAH6f/nQ=")</f>
        <v>#VALUE!</v>
      </c>
      <c r="DN86" t="e">
        <f>AND(Insects!N186,"AAAAAH6f/nU=")</f>
        <v>#VALUE!</v>
      </c>
      <c r="DO86" t="e">
        <f>AND(Insects!O186,"AAAAAH6f/nY=")</f>
        <v>#VALUE!</v>
      </c>
      <c r="DP86" t="e">
        <f>AND(Insects!P186,"AAAAAH6f/nc=")</f>
        <v>#VALUE!</v>
      </c>
      <c r="DQ86">
        <f>IF(Insects!187:187,"AAAAAH6f/ng=",0)</f>
        <v>0</v>
      </c>
      <c r="DR86" t="e">
        <f>AND(Insects!A187,"AAAAAH6f/nk=")</f>
        <v>#VALUE!</v>
      </c>
      <c r="DS86" t="e">
        <f>AND(Insects!B187,"AAAAAH6f/no=")</f>
        <v>#VALUE!</v>
      </c>
      <c r="DT86" t="e">
        <f>AND(Insects!C187,"AAAAAH6f/ns=")</f>
        <v>#VALUE!</v>
      </c>
      <c r="DU86" t="e">
        <f>AND(Insects!D187,"AAAAAH6f/nw=")</f>
        <v>#VALUE!</v>
      </c>
      <c r="DV86" t="e">
        <f>AND(Insects!E187,"AAAAAH6f/n0=")</f>
        <v>#VALUE!</v>
      </c>
      <c r="DW86" t="e">
        <f>AND(Insects!F187,"AAAAAH6f/n4=")</f>
        <v>#VALUE!</v>
      </c>
      <c r="DX86" t="e">
        <f>AND(Insects!G187,"AAAAAH6f/n8=")</f>
        <v>#VALUE!</v>
      </c>
      <c r="DY86" t="e">
        <f>AND(Insects!H187,"AAAAAH6f/oA=")</f>
        <v>#VALUE!</v>
      </c>
      <c r="DZ86" t="e">
        <f>AND(Insects!I187,"AAAAAH6f/oE=")</f>
        <v>#VALUE!</v>
      </c>
      <c r="EA86" t="e">
        <f>AND(Insects!J187,"AAAAAH6f/oI=")</f>
        <v>#VALUE!</v>
      </c>
      <c r="EB86" t="e">
        <f>AND(Insects!K187,"AAAAAH6f/oM=")</f>
        <v>#VALUE!</v>
      </c>
      <c r="EC86" t="e">
        <f>AND(Insects!L187,"AAAAAH6f/oQ=")</f>
        <v>#VALUE!</v>
      </c>
      <c r="ED86" t="e">
        <f>AND(Insects!M187,"AAAAAH6f/oU=")</f>
        <v>#VALUE!</v>
      </c>
      <c r="EE86" t="e">
        <f>AND(Insects!N187,"AAAAAH6f/oY=")</f>
        <v>#VALUE!</v>
      </c>
      <c r="EF86" t="e">
        <f>AND(Insects!O187,"AAAAAH6f/oc=")</f>
        <v>#VALUE!</v>
      </c>
      <c r="EG86" t="e">
        <f>AND(Insects!P187,"AAAAAH6f/og=")</f>
        <v>#VALUE!</v>
      </c>
      <c r="EH86">
        <f>IF(Insects!188:188,"AAAAAH6f/ok=",0)</f>
        <v>0</v>
      </c>
      <c r="EI86" t="e">
        <f>AND(Insects!A188,"AAAAAH6f/oo=")</f>
        <v>#VALUE!</v>
      </c>
      <c r="EJ86" t="e">
        <f>AND(Insects!B188,"AAAAAH6f/os=")</f>
        <v>#VALUE!</v>
      </c>
      <c r="EK86" t="e">
        <f>AND(Insects!C188,"AAAAAH6f/ow=")</f>
        <v>#VALUE!</v>
      </c>
      <c r="EL86" t="e">
        <f>AND(Insects!D188,"AAAAAH6f/o0=")</f>
        <v>#VALUE!</v>
      </c>
      <c r="EM86" t="e">
        <f>AND(Insects!E188,"AAAAAH6f/o4=")</f>
        <v>#VALUE!</v>
      </c>
      <c r="EN86" t="e">
        <f>AND(Insects!F188,"AAAAAH6f/o8=")</f>
        <v>#VALUE!</v>
      </c>
      <c r="EO86" t="e">
        <f>AND(Insects!G188,"AAAAAH6f/pA=")</f>
        <v>#VALUE!</v>
      </c>
      <c r="EP86" t="e">
        <f>AND(Insects!H188,"AAAAAH6f/pE=")</f>
        <v>#VALUE!</v>
      </c>
      <c r="EQ86" t="e">
        <f>AND(Insects!I188,"AAAAAH6f/pI=")</f>
        <v>#VALUE!</v>
      </c>
      <c r="ER86" t="e">
        <f>AND(Insects!J188,"AAAAAH6f/pM=")</f>
        <v>#VALUE!</v>
      </c>
      <c r="ES86" t="e">
        <f>AND(Insects!K188,"AAAAAH6f/pQ=")</f>
        <v>#VALUE!</v>
      </c>
      <c r="ET86" t="e">
        <f>AND(Insects!L188,"AAAAAH6f/pU=")</f>
        <v>#VALUE!</v>
      </c>
      <c r="EU86" t="e">
        <f>AND(Insects!M188,"AAAAAH6f/pY=")</f>
        <v>#VALUE!</v>
      </c>
      <c r="EV86" t="e">
        <f>AND(Insects!N188,"AAAAAH6f/pc=")</f>
        <v>#VALUE!</v>
      </c>
      <c r="EW86" t="e">
        <f>AND(Insects!O188,"AAAAAH6f/pg=")</f>
        <v>#VALUE!</v>
      </c>
      <c r="EX86" t="e">
        <f>AND(Insects!P188,"AAAAAH6f/pk=")</f>
        <v>#VALUE!</v>
      </c>
      <c r="EY86">
        <f>IF(Insects!189:189,"AAAAAH6f/po=",0)</f>
        <v>0</v>
      </c>
      <c r="EZ86" t="e">
        <f>AND(Insects!A189,"AAAAAH6f/ps=")</f>
        <v>#VALUE!</v>
      </c>
      <c r="FA86" t="e">
        <f>AND(Insects!B189,"AAAAAH6f/pw=")</f>
        <v>#VALUE!</v>
      </c>
      <c r="FB86" t="e">
        <f>AND(Insects!C189,"AAAAAH6f/p0=")</f>
        <v>#VALUE!</v>
      </c>
      <c r="FC86" t="e">
        <f>AND(Insects!D189,"AAAAAH6f/p4=")</f>
        <v>#VALUE!</v>
      </c>
      <c r="FD86" t="e">
        <f>AND(Insects!E189,"AAAAAH6f/p8=")</f>
        <v>#VALUE!</v>
      </c>
      <c r="FE86" t="e">
        <f>AND(Insects!F189,"AAAAAH6f/qA=")</f>
        <v>#VALUE!</v>
      </c>
      <c r="FF86" t="e">
        <f>AND(Insects!G189,"AAAAAH6f/qE=")</f>
        <v>#VALUE!</v>
      </c>
      <c r="FG86" t="e">
        <f>AND(Insects!H189,"AAAAAH6f/qI=")</f>
        <v>#VALUE!</v>
      </c>
      <c r="FH86" t="e">
        <f>AND(Insects!I189,"AAAAAH6f/qM=")</f>
        <v>#VALUE!</v>
      </c>
      <c r="FI86" t="e">
        <f>AND(Insects!J189,"AAAAAH6f/qQ=")</f>
        <v>#VALUE!</v>
      </c>
      <c r="FJ86" t="e">
        <f>AND(Insects!K189,"AAAAAH6f/qU=")</f>
        <v>#VALUE!</v>
      </c>
      <c r="FK86" t="e">
        <f>AND(Insects!L189,"AAAAAH6f/qY=")</f>
        <v>#VALUE!</v>
      </c>
      <c r="FL86" t="e">
        <f>AND(Insects!M189,"AAAAAH6f/qc=")</f>
        <v>#VALUE!</v>
      </c>
      <c r="FM86" t="e">
        <f>AND(Insects!N189,"AAAAAH6f/qg=")</f>
        <v>#VALUE!</v>
      </c>
      <c r="FN86" t="e">
        <f>AND(Insects!O189,"AAAAAH6f/qk=")</f>
        <v>#VALUE!</v>
      </c>
      <c r="FO86" t="e">
        <f>AND(Insects!P189,"AAAAAH6f/qo=")</f>
        <v>#VALUE!</v>
      </c>
      <c r="FP86">
        <f>IF(Insects!190:190,"AAAAAH6f/qs=",0)</f>
        <v>0</v>
      </c>
      <c r="FQ86" t="e">
        <f>AND(Insects!A190,"AAAAAH6f/qw=")</f>
        <v>#VALUE!</v>
      </c>
      <c r="FR86" t="e">
        <f>AND(Insects!B190,"AAAAAH6f/q0=")</f>
        <v>#VALUE!</v>
      </c>
      <c r="FS86" t="e">
        <f>AND(Insects!C190,"AAAAAH6f/q4=")</f>
        <v>#VALUE!</v>
      </c>
      <c r="FT86" t="e">
        <f>AND(Insects!D190,"AAAAAH6f/q8=")</f>
        <v>#VALUE!</v>
      </c>
      <c r="FU86" t="e">
        <f>AND(Insects!E190,"AAAAAH6f/rA=")</f>
        <v>#VALUE!</v>
      </c>
      <c r="FV86" t="e">
        <f>AND(Insects!F190,"AAAAAH6f/rE=")</f>
        <v>#VALUE!</v>
      </c>
      <c r="FW86" t="e">
        <f>AND(Insects!G190,"AAAAAH6f/rI=")</f>
        <v>#VALUE!</v>
      </c>
      <c r="FX86" t="e">
        <f>AND(Insects!H190,"AAAAAH6f/rM=")</f>
        <v>#VALUE!</v>
      </c>
      <c r="FY86" t="e">
        <f>AND(Insects!I190,"AAAAAH6f/rQ=")</f>
        <v>#VALUE!</v>
      </c>
      <c r="FZ86" t="e">
        <f>AND(Insects!J190,"AAAAAH6f/rU=")</f>
        <v>#VALUE!</v>
      </c>
      <c r="GA86" t="e">
        <f>AND(Insects!K190,"AAAAAH6f/rY=")</f>
        <v>#VALUE!</v>
      </c>
      <c r="GB86" t="e">
        <f>AND(Insects!L190,"AAAAAH6f/rc=")</f>
        <v>#VALUE!</v>
      </c>
      <c r="GC86" t="e">
        <f>AND(Insects!M190,"AAAAAH6f/rg=")</f>
        <v>#VALUE!</v>
      </c>
      <c r="GD86" t="e">
        <f>AND(Insects!N190,"AAAAAH6f/rk=")</f>
        <v>#VALUE!</v>
      </c>
      <c r="GE86" t="e">
        <f>AND(Insects!O190,"AAAAAH6f/ro=")</f>
        <v>#VALUE!</v>
      </c>
      <c r="GF86" t="e">
        <f>AND(Insects!P190,"AAAAAH6f/rs=")</f>
        <v>#VALUE!</v>
      </c>
      <c r="GG86">
        <f>IF(Insects!191:191,"AAAAAH6f/rw=",0)</f>
        <v>0</v>
      </c>
      <c r="GH86" t="e">
        <f>AND(Insects!A191,"AAAAAH6f/r0=")</f>
        <v>#VALUE!</v>
      </c>
      <c r="GI86" t="e">
        <f>AND(Insects!B191,"AAAAAH6f/r4=")</f>
        <v>#VALUE!</v>
      </c>
      <c r="GJ86" t="e">
        <f>AND(Insects!C191,"AAAAAH6f/r8=")</f>
        <v>#VALUE!</v>
      </c>
      <c r="GK86" t="e">
        <f>AND(Insects!D191,"AAAAAH6f/sA=")</f>
        <v>#VALUE!</v>
      </c>
      <c r="GL86" t="e">
        <f>AND(Insects!E191,"AAAAAH6f/sE=")</f>
        <v>#VALUE!</v>
      </c>
      <c r="GM86" t="e">
        <f>AND(Insects!F191,"AAAAAH6f/sI=")</f>
        <v>#VALUE!</v>
      </c>
      <c r="GN86" t="e">
        <f>AND(Insects!G191,"AAAAAH6f/sM=")</f>
        <v>#VALUE!</v>
      </c>
      <c r="GO86" t="e">
        <f>AND(Insects!H191,"AAAAAH6f/sQ=")</f>
        <v>#VALUE!</v>
      </c>
      <c r="GP86" t="e">
        <f>AND(Insects!I191,"AAAAAH6f/sU=")</f>
        <v>#VALUE!</v>
      </c>
      <c r="GQ86" t="e">
        <f>AND(Insects!J191,"AAAAAH6f/sY=")</f>
        <v>#VALUE!</v>
      </c>
      <c r="GR86" t="e">
        <f>AND(Insects!K191,"AAAAAH6f/sc=")</f>
        <v>#VALUE!</v>
      </c>
      <c r="GS86" t="e">
        <f>AND(Insects!L191,"AAAAAH6f/sg=")</f>
        <v>#VALUE!</v>
      </c>
      <c r="GT86" t="e">
        <f>AND(Insects!M191,"AAAAAH6f/sk=")</f>
        <v>#VALUE!</v>
      </c>
      <c r="GU86" t="e">
        <f>AND(Insects!N191,"AAAAAH6f/so=")</f>
        <v>#VALUE!</v>
      </c>
      <c r="GV86" t="e">
        <f>AND(Insects!O191,"AAAAAH6f/ss=")</f>
        <v>#VALUE!</v>
      </c>
      <c r="GW86" t="e">
        <f>AND(Insects!P191,"AAAAAH6f/sw=")</f>
        <v>#VALUE!</v>
      </c>
      <c r="GX86">
        <f>IF(Insects!192:192,"AAAAAH6f/s0=",0)</f>
        <v>0</v>
      </c>
      <c r="GY86" t="e">
        <f>AND(Insects!A192,"AAAAAH6f/s4=")</f>
        <v>#VALUE!</v>
      </c>
      <c r="GZ86" t="e">
        <f>AND(Insects!B192,"AAAAAH6f/s8=")</f>
        <v>#VALUE!</v>
      </c>
      <c r="HA86" t="e">
        <f>AND(Insects!C192,"AAAAAH6f/tA=")</f>
        <v>#VALUE!</v>
      </c>
      <c r="HB86" t="e">
        <f>AND(Insects!D192,"AAAAAH6f/tE=")</f>
        <v>#VALUE!</v>
      </c>
      <c r="HC86" t="e">
        <f>AND(Insects!E192,"AAAAAH6f/tI=")</f>
        <v>#VALUE!</v>
      </c>
      <c r="HD86" t="e">
        <f>AND(Insects!F192,"AAAAAH6f/tM=")</f>
        <v>#VALUE!</v>
      </c>
      <c r="HE86" t="e">
        <f>AND(Insects!G192,"AAAAAH6f/tQ=")</f>
        <v>#VALUE!</v>
      </c>
      <c r="HF86" t="e">
        <f>AND(Insects!H192,"AAAAAH6f/tU=")</f>
        <v>#VALUE!</v>
      </c>
      <c r="HG86" t="e">
        <f>AND(Insects!I192,"AAAAAH6f/tY=")</f>
        <v>#VALUE!</v>
      </c>
      <c r="HH86" t="e">
        <f>AND(Insects!J192,"AAAAAH6f/tc=")</f>
        <v>#VALUE!</v>
      </c>
      <c r="HI86" t="e">
        <f>AND(Insects!K192,"AAAAAH6f/tg=")</f>
        <v>#VALUE!</v>
      </c>
      <c r="HJ86" t="e">
        <f>AND(Insects!L192,"AAAAAH6f/tk=")</f>
        <v>#VALUE!</v>
      </c>
      <c r="HK86" t="e">
        <f>AND(Insects!M192,"AAAAAH6f/to=")</f>
        <v>#VALUE!</v>
      </c>
      <c r="HL86" t="e">
        <f>AND(Insects!N192,"AAAAAH6f/ts=")</f>
        <v>#VALUE!</v>
      </c>
      <c r="HM86" t="e">
        <f>AND(Insects!O192,"AAAAAH6f/tw=")</f>
        <v>#VALUE!</v>
      </c>
      <c r="HN86" t="e">
        <f>AND(Insects!P192,"AAAAAH6f/t0=")</f>
        <v>#VALUE!</v>
      </c>
      <c r="HO86">
        <f>IF(Insects!193:193,"AAAAAH6f/t4=",0)</f>
        <v>0</v>
      </c>
      <c r="HP86" t="e">
        <f>AND(Insects!A193,"AAAAAH6f/t8=")</f>
        <v>#VALUE!</v>
      </c>
      <c r="HQ86" t="e">
        <f>AND(Insects!B193,"AAAAAH6f/uA=")</f>
        <v>#VALUE!</v>
      </c>
      <c r="HR86" t="e">
        <f>AND(Insects!C193,"AAAAAH6f/uE=")</f>
        <v>#VALUE!</v>
      </c>
      <c r="HS86" t="e">
        <f>AND(Insects!D193,"AAAAAH6f/uI=")</f>
        <v>#VALUE!</v>
      </c>
      <c r="HT86" t="e">
        <f>AND(Insects!E193,"AAAAAH6f/uM=")</f>
        <v>#VALUE!</v>
      </c>
      <c r="HU86" t="e">
        <f>AND(Insects!F193,"AAAAAH6f/uQ=")</f>
        <v>#VALUE!</v>
      </c>
      <c r="HV86" t="e">
        <f>AND(Insects!G193,"AAAAAH6f/uU=")</f>
        <v>#VALUE!</v>
      </c>
      <c r="HW86" t="e">
        <f>AND(Insects!H193,"AAAAAH6f/uY=")</f>
        <v>#VALUE!</v>
      </c>
      <c r="HX86" t="e">
        <f>AND(Insects!I193,"AAAAAH6f/uc=")</f>
        <v>#VALUE!</v>
      </c>
      <c r="HY86" t="e">
        <f>AND(Insects!J193,"AAAAAH6f/ug=")</f>
        <v>#VALUE!</v>
      </c>
      <c r="HZ86" t="e">
        <f>AND(Insects!K193,"AAAAAH6f/uk=")</f>
        <v>#VALUE!</v>
      </c>
      <c r="IA86" t="e">
        <f>AND(Insects!L193,"AAAAAH6f/uo=")</f>
        <v>#VALUE!</v>
      </c>
      <c r="IB86" t="e">
        <f>AND(Insects!M193,"AAAAAH6f/us=")</f>
        <v>#VALUE!</v>
      </c>
      <c r="IC86" t="e">
        <f>AND(Insects!N193,"AAAAAH6f/uw=")</f>
        <v>#VALUE!</v>
      </c>
      <c r="ID86" t="e">
        <f>AND(Insects!O193,"AAAAAH6f/u0=")</f>
        <v>#VALUE!</v>
      </c>
      <c r="IE86" t="e">
        <f>AND(Insects!P193,"AAAAAH6f/u4=")</f>
        <v>#VALUE!</v>
      </c>
      <c r="IF86">
        <f>IF(Insects!194:194,"AAAAAH6f/u8=",0)</f>
        <v>0</v>
      </c>
      <c r="IG86" t="e">
        <f>AND(Insects!A194,"AAAAAH6f/vA=")</f>
        <v>#VALUE!</v>
      </c>
      <c r="IH86" t="e">
        <f>AND(Insects!B194,"AAAAAH6f/vE=")</f>
        <v>#VALUE!</v>
      </c>
      <c r="II86" t="e">
        <f>AND(Insects!C194,"AAAAAH6f/vI=")</f>
        <v>#VALUE!</v>
      </c>
      <c r="IJ86" t="e">
        <f>AND(Insects!D194,"AAAAAH6f/vM=")</f>
        <v>#VALUE!</v>
      </c>
      <c r="IK86" t="e">
        <f>AND(Insects!E194,"AAAAAH6f/vQ=")</f>
        <v>#VALUE!</v>
      </c>
      <c r="IL86" t="e">
        <f>AND(Insects!F194,"AAAAAH6f/vU=")</f>
        <v>#VALUE!</v>
      </c>
      <c r="IM86" t="e">
        <f>AND(Insects!G194,"AAAAAH6f/vY=")</f>
        <v>#VALUE!</v>
      </c>
      <c r="IN86" t="e">
        <f>AND(Insects!H194,"AAAAAH6f/vc=")</f>
        <v>#VALUE!</v>
      </c>
      <c r="IO86" t="e">
        <f>AND(Insects!I194,"AAAAAH6f/vg=")</f>
        <v>#VALUE!</v>
      </c>
      <c r="IP86" t="e">
        <f>AND(Insects!J194,"AAAAAH6f/vk=")</f>
        <v>#VALUE!</v>
      </c>
      <c r="IQ86" t="e">
        <f>AND(Insects!K194,"AAAAAH6f/vo=")</f>
        <v>#VALUE!</v>
      </c>
      <c r="IR86" t="e">
        <f>AND(Insects!L194,"AAAAAH6f/vs=")</f>
        <v>#VALUE!</v>
      </c>
      <c r="IS86" t="e">
        <f>AND(Insects!M194,"AAAAAH6f/vw=")</f>
        <v>#VALUE!</v>
      </c>
      <c r="IT86" t="e">
        <f>AND(Insects!N194,"AAAAAH6f/v0=")</f>
        <v>#VALUE!</v>
      </c>
      <c r="IU86" t="e">
        <f>AND(Insects!O194,"AAAAAH6f/v4=")</f>
        <v>#VALUE!</v>
      </c>
      <c r="IV86" t="e">
        <f>AND(Insects!P194,"AAAAAH6f/v8=")</f>
        <v>#VALUE!</v>
      </c>
    </row>
    <row r="87" spans="1:256">
      <c r="A87" t="str">
        <f>IF(Insects!195:195,"AAAAAHe+7wA=",0)</f>
        <v>AAAAAHe+7wA=</v>
      </c>
      <c r="B87" t="e">
        <f>AND(Insects!A195,"AAAAAHe+7wE=")</f>
        <v>#VALUE!</v>
      </c>
      <c r="C87" t="e">
        <f>AND(Insects!B195,"AAAAAHe+7wI=")</f>
        <v>#VALUE!</v>
      </c>
      <c r="D87" t="e">
        <f>AND(Insects!C195,"AAAAAHe+7wM=")</f>
        <v>#VALUE!</v>
      </c>
      <c r="E87" t="e">
        <f>AND(Insects!D195,"AAAAAHe+7wQ=")</f>
        <v>#VALUE!</v>
      </c>
      <c r="F87" t="e">
        <f>AND(Insects!E195,"AAAAAHe+7wU=")</f>
        <v>#VALUE!</v>
      </c>
      <c r="G87" t="e">
        <f>AND(Insects!F195,"AAAAAHe+7wY=")</f>
        <v>#VALUE!</v>
      </c>
      <c r="H87" t="e">
        <f>AND(Insects!G195,"AAAAAHe+7wc=")</f>
        <v>#VALUE!</v>
      </c>
      <c r="I87" t="e">
        <f>AND(Insects!H195,"AAAAAHe+7wg=")</f>
        <v>#VALUE!</v>
      </c>
      <c r="J87" t="e">
        <f>AND(Insects!I195,"AAAAAHe+7wk=")</f>
        <v>#VALUE!</v>
      </c>
      <c r="K87" t="e">
        <f>AND(Insects!J195,"AAAAAHe+7wo=")</f>
        <v>#VALUE!</v>
      </c>
      <c r="L87" t="e">
        <f>AND(Insects!K195,"AAAAAHe+7ws=")</f>
        <v>#VALUE!</v>
      </c>
      <c r="M87" t="e">
        <f>AND(Insects!L195,"AAAAAHe+7ww=")</f>
        <v>#VALUE!</v>
      </c>
      <c r="N87" t="e">
        <f>AND(Insects!M195,"AAAAAHe+7w0=")</f>
        <v>#VALUE!</v>
      </c>
      <c r="O87" t="e">
        <f>AND(Insects!N195,"AAAAAHe+7w4=")</f>
        <v>#VALUE!</v>
      </c>
      <c r="P87" t="e">
        <f>AND(Insects!O195,"AAAAAHe+7w8=")</f>
        <v>#VALUE!</v>
      </c>
      <c r="Q87" t="e">
        <f>AND(Insects!P195,"AAAAAHe+7xA=")</f>
        <v>#VALUE!</v>
      </c>
      <c r="R87">
        <f>IF(Insects!196:196,"AAAAAHe+7xE=",0)</f>
        <v>0</v>
      </c>
      <c r="S87" t="e">
        <f>AND(Insects!A196,"AAAAAHe+7xI=")</f>
        <v>#VALUE!</v>
      </c>
      <c r="T87" t="e">
        <f>AND(Insects!B196,"AAAAAHe+7xM=")</f>
        <v>#VALUE!</v>
      </c>
      <c r="U87" t="e">
        <f>AND(Insects!C196,"AAAAAHe+7xQ=")</f>
        <v>#VALUE!</v>
      </c>
      <c r="V87" t="e">
        <f>AND(Insects!D196,"AAAAAHe+7xU=")</f>
        <v>#VALUE!</v>
      </c>
      <c r="W87" t="e">
        <f>AND(Insects!E196,"AAAAAHe+7xY=")</f>
        <v>#VALUE!</v>
      </c>
      <c r="X87" t="e">
        <f>AND(Insects!F196,"AAAAAHe+7xc=")</f>
        <v>#VALUE!</v>
      </c>
      <c r="Y87" t="e">
        <f>AND(Insects!G196,"AAAAAHe+7xg=")</f>
        <v>#VALUE!</v>
      </c>
      <c r="Z87" t="e">
        <f>AND(Insects!H196,"AAAAAHe+7xk=")</f>
        <v>#VALUE!</v>
      </c>
      <c r="AA87" t="e">
        <f>AND(Insects!I196,"AAAAAHe+7xo=")</f>
        <v>#VALUE!</v>
      </c>
      <c r="AB87" t="e">
        <f>AND(Insects!J196,"AAAAAHe+7xs=")</f>
        <v>#VALUE!</v>
      </c>
      <c r="AC87" t="e">
        <f>AND(Insects!K196,"AAAAAHe+7xw=")</f>
        <v>#VALUE!</v>
      </c>
      <c r="AD87" t="e">
        <f>AND(Insects!L196,"AAAAAHe+7x0=")</f>
        <v>#VALUE!</v>
      </c>
      <c r="AE87" t="e">
        <f>AND(Insects!M196,"AAAAAHe+7x4=")</f>
        <v>#VALUE!</v>
      </c>
      <c r="AF87" t="e">
        <f>AND(Insects!N196,"AAAAAHe+7x8=")</f>
        <v>#VALUE!</v>
      </c>
      <c r="AG87" t="e">
        <f>AND(Insects!O196,"AAAAAHe+7yA=")</f>
        <v>#VALUE!</v>
      </c>
      <c r="AH87" t="e">
        <f>AND(Insects!P196,"AAAAAHe+7yE=")</f>
        <v>#VALUE!</v>
      </c>
      <c r="AI87">
        <f>IF(Insects!197:197,"AAAAAHe+7yI=",0)</f>
        <v>0</v>
      </c>
      <c r="AJ87" t="e">
        <f>AND(Insects!A197,"AAAAAHe+7yM=")</f>
        <v>#VALUE!</v>
      </c>
      <c r="AK87" t="e">
        <f>AND(Insects!B197,"AAAAAHe+7yQ=")</f>
        <v>#VALUE!</v>
      </c>
      <c r="AL87" t="e">
        <f>AND(Insects!C197,"AAAAAHe+7yU=")</f>
        <v>#VALUE!</v>
      </c>
      <c r="AM87" t="e">
        <f>AND(Insects!D197,"AAAAAHe+7yY=")</f>
        <v>#VALUE!</v>
      </c>
      <c r="AN87" t="e">
        <f>AND(Insects!E197,"AAAAAHe+7yc=")</f>
        <v>#VALUE!</v>
      </c>
      <c r="AO87" t="e">
        <f>AND(Insects!F197,"AAAAAHe+7yg=")</f>
        <v>#VALUE!</v>
      </c>
      <c r="AP87" t="e">
        <f>AND(Insects!G197,"AAAAAHe+7yk=")</f>
        <v>#VALUE!</v>
      </c>
      <c r="AQ87" t="e">
        <f>AND(Insects!H197,"AAAAAHe+7yo=")</f>
        <v>#VALUE!</v>
      </c>
      <c r="AR87" t="e">
        <f>AND(Insects!I197,"AAAAAHe+7ys=")</f>
        <v>#VALUE!</v>
      </c>
      <c r="AS87" t="e">
        <f>AND(Insects!J197,"AAAAAHe+7yw=")</f>
        <v>#VALUE!</v>
      </c>
      <c r="AT87" t="e">
        <f>AND(Insects!K197,"AAAAAHe+7y0=")</f>
        <v>#VALUE!</v>
      </c>
      <c r="AU87" t="e">
        <f>AND(Insects!L197,"AAAAAHe+7y4=")</f>
        <v>#VALUE!</v>
      </c>
      <c r="AV87" t="e">
        <f>AND(Insects!M197,"AAAAAHe+7y8=")</f>
        <v>#VALUE!</v>
      </c>
      <c r="AW87" t="e">
        <f>AND(Insects!N197,"AAAAAHe+7zA=")</f>
        <v>#VALUE!</v>
      </c>
      <c r="AX87" t="e">
        <f>AND(Insects!O197,"AAAAAHe+7zE=")</f>
        <v>#VALUE!</v>
      </c>
      <c r="AY87" t="e">
        <f>AND(Insects!P197,"AAAAAHe+7zI=")</f>
        <v>#VALUE!</v>
      </c>
      <c r="AZ87">
        <f>IF(Insects!198:198,"AAAAAHe+7zM=",0)</f>
        <v>0</v>
      </c>
      <c r="BA87" t="e">
        <f>AND(Insects!A198,"AAAAAHe+7zQ=")</f>
        <v>#VALUE!</v>
      </c>
      <c r="BB87" t="e">
        <f>AND(Insects!B198,"AAAAAHe+7zU=")</f>
        <v>#VALUE!</v>
      </c>
      <c r="BC87" t="e">
        <f>AND(Insects!C198,"AAAAAHe+7zY=")</f>
        <v>#VALUE!</v>
      </c>
      <c r="BD87" t="e">
        <f>AND(Insects!D198,"AAAAAHe+7zc=")</f>
        <v>#VALUE!</v>
      </c>
      <c r="BE87" t="e">
        <f>AND(Insects!E198,"AAAAAHe+7zg=")</f>
        <v>#VALUE!</v>
      </c>
      <c r="BF87" t="e">
        <f>AND(Insects!F198,"AAAAAHe+7zk=")</f>
        <v>#VALUE!</v>
      </c>
      <c r="BG87" t="e">
        <f>AND(Insects!G198,"AAAAAHe+7zo=")</f>
        <v>#VALUE!</v>
      </c>
      <c r="BH87" t="e">
        <f>AND(Insects!H198,"AAAAAHe+7zs=")</f>
        <v>#VALUE!</v>
      </c>
      <c r="BI87" t="e">
        <f>AND(Insects!I198,"AAAAAHe+7zw=")</f>
        <v>#VALUE!</v>
      </c>
      <c r="BJ87" t="e">
        <f>AND(Insects!J198,"AAAAAHe+7z0=")</f>
        <v>#VALUE!</v>
      </c>
      <c r="BK87" t="e">
        <f>AND(Insects!K198,"AAAAAHe+7z4=")</f>
        <v>#VALUE!</v>
      </c>
      <c r="BL87" t="e">
        <f>AND(Insects!L198,"AAAAAHe+7z8=")</f>
        <v>#VALUE!</v>
      </c>
      <c r="BM87" t="e">
        <f>AND(Insects!M198,"AAAAAHe+70A=")</f>
        <v>#VALUE!</v>
      </c>
      <c r="BN87" t="e">
        <f>AND(Insects!N198,"AAAAAHe+70E=")</f>
        <v>#VALUE!</v>
      </c>
      <c r="BO87" t="e">
        <f>AND(Insects!O198,"AAAAAHe+70I=")</f>
        <v>#VALUE!</v>
      </c>
      <c r="BP87" t="e">
        <f>AND(Insects!P198,"AAAAAHe+70M=")</f>
        <v>#VALUE!</v>
      </c>
      <c r="BQ87">
        <f>IF(Insects!199:199,"AAAAAHe+70Q=",0)</f>
        <v>0</v>
      </c>
      <c r="BR87" t="e">
        <f>AND(Insects!A199,"AAAAAHe+70U=")</f>
        <v>#VALUE!</v>
      </c>
      <c r="BS87" t="e">
        <f>AND(Insects!B199,"AAAAAHe+70Y=")</f>
        <v>#VALUE!</v>
      </c>
      <c r="BT87" t="e">
        <f>AND(Insects!C199,"AAAAAHe+70c=")</f>
        <v>#VALUE!</v>
      </c>
      <c r="BU87" t="e">
        <f>AND(Insects!D199,"AAAAAHe+70g=")</f>
        <v>#VALUE!</v>
      </c>
      <c r="BV87" t="e">
        <f>AND(Insects!E199,"AAAAAHe+70k=")</f>
        <v>#VALUE!</v>
      </c>
      <c r="BW87" t="e">
        <f>AND(Insects!F199,"AAAAAHe+70o=")</f>
        <v>#VALUE!</v>
      </c>
      <c r="BX87" t="e">
        <f>AND(Insects!G199,"AAAAAHe+70s=")</f>
        <v>#VALUE!</v>
      </c>
      <c r="BY87" t="e">
        <f>AND(Insects!H199,"AAAAAHe+70w=")</f>
        <v>#VALUE!</v>
      </c>
      <c r="BZ87" t="e">
        <f>AND(Insects!I199,"AAAAAHe+700=")</f>
        <v>#VALUE!</v>
      </c>
      <c r="CA87" t="e">
        <f>AND(Insects!J199,"AAAAAHe+704=")</f>
        <v>#VALUE!</v>
      </c>
      <c r="CB87" t="e">
        <f>AND(Insects!K199,"AAAAAHe+708=")</f>
        <v>#VALUE!</v>
      </c>
      <c r="CC87" t="e">
        <f>AND(Insects!L199,"AAAAAHe+71A=")</f>
        <v>#VALUE!</v>
      </c>
      <c r="CD87" t="e">
        <f>AND(Insects!M199,"AAAAAHe+71E=")</f>
        <v>#VALUE!</v>
      </c>
      <c r="CE87" t="e">
        <f>AND(Insects!N199,"AAAAAHe+71I=")</f>
        <v>#VALUE!</v>
      </c>
      <c r="CF87" t="e">
        <f>AND(Insects!O199,"AAAAAHe+71M=")</f>
        <v>#VALUE!</v>
      </c>
      <c r="CG87" t="e">
        <f>AND(Insects!P199,"AAAAAHe+71Q=")</f>
        <v>#VALUE!</v>
      </c>
      <c r="CH87">
        <f>IF(Insects!200:200,"AAAAAHe+71U=",0)</f>
        <v>0</v>
      </c>
      <c r="CI87" t="e">
        <f>AND(Insects!A200,"AAAAAHe+71Y=")</f>
        <v>#VALUE!</v>
      </c>
      <c r="CJ87" t="e">
        <f>AND(Insects!B200,"AAAAAHe+71c=")</f>
        <v>#VALUE!</v>
      </c>
      <c r="CK87" t="e">
        <f>AND(Insects!C200,"AAAAAHe+71g=")</f>
        <v>#VALUE!</v>
      </c>
      <c r="CL87" t="e">
        <f>AND(Insects!D200,"AAAAAHe+71k=")</f>
        <v>#VALUE!</v>
      </c>
      <c r="CM87" t="e">
        <f>AND(Insects!E200,"AAAAAHe+71o=")</f>
        <v>#VALUE!</v>
      </c>
      <c r="CN87" t="e">
        <f>AND(Insects!F200,"AAAAAHe+71s=")</f>
        <v>#VALUE!</v>
      </c>
      <c r="CO87" t="e">
        <f>AND(Insects!G200,"AAAAAHe+71w=")</f>
        <v>#VALUE!</v>
      </c>
      <c r="CP87" t="e">
        <f>AND(Insects!H200,"AAAAAHe+710=")</f>
        <v>#VALUE!</v>
      </c>
      <c r="CQ87" t="e">
        <f>AND(Insects!I200,"AAAAAHe+714=")</f>
        <v>#VALUE!</v>
      </c>
      <c r="CR87" t="e">
        <f>AND(Insects!J200,"AAAAAHe+718=")</f>
        <v>#VALUE!</v>
      </c>
      <c r="CS87" t="e">
        <f>AND(Insects!K200,"AAAAAHe+72A=")</f>
        <v>#VALUE!</v>
      </c>
      <c r="CT87" t="e">
        <f>AND(Insects!L200,"AAAAAHe+72E=")</f>
        <v>#VALUE!</v>
      </c>
      <c r="CU87" t="e">
        <f>AND(Insects!M200,"AAAAAHe+72I=")</f>
        <v>#VALUE!</v>
      </c>
      <c r="CV87" t="e">
        <f>AND(Insects!N200,"AAAAAHe+72M=")</f>
        <v>#VALUE!</v>
      </c>
      <c r="CW87" t="e">
        <f>AND(Insects!O200,"AAAAAHe+72Q=")</f>
        <v>#VALUE!</v>
      </c>
      <c r="CX87" t="e">
        <f>AND(Insects!P200,"AAAAAHe+72U=")</f>
        <v>#VALUE!</v>
      </c>
      <c r="CY87">
        <f>IF(Insects!201:201,"AAAAAHe+72Y=",0)</f>
        <v>0</v>
      </c>
      <c r="CZ87" t="e">
        <f>AND(Insects!A201,"AAAAAHe+72c=")</f>
        <v>#VALUE!</v>
      </c>
      <c r="DA87" t="e">
        <f>AND(Insects!B201,"AAAAAHe+72g=")</f>
        <v>#VALUE!</v>
      </c>
      <c r="DB87" t="e">
        <f>AND(Insects!C201,"AAAAAHe+72k=")</f>
        <v>#VALUE!</v>
      </c>
      <c r="DC87" t="e">
        <f>AND(Insects!D201,"AAAAAHe+72o=")</f>
        <v>#VALUE!</v>
      </c>
      <c r="DD87" t="e">
        <f>AND(Insects!E201,"AAAAAHe+72s=")</f>
        <v>#VALUE!</v>
      </c>
      <c r="DE87" t="e">
        <f>AND(Insects!F201,"AAAAAHe+72w=")</f>
        <v>#VALUE!</v>
      </c>
      <c r="DF87" t="e">
        <f>AND(Insects!G201,"AAAAAHe+720=")</f>
        <v>#VALUE!</v>
      </c>
      <c r="DG87" t="e">
        <f>AND(Insects!H201,"AAAAAHe+724=")</f>
        <v>#VALUE!</v>
      </c>
      <c r="DH87" t="e">
        <f>AND(Insects!I201,"AAAAAHe+728=")</f>
        <v>#VALUE!</v>
      </c>
      <c r="DI87" t="e">
        <f>AND(Insects!J201,"AAAAAHe+73A=")</f>
        <v>#VALUE!</v>
      </c>
      <c r="DJ87" t="e">
        <f>AND(Insects!K201,"AAAAAHe+73E=")</f>
        <v>#VALUE!</v>
      </c>
      <c r="DK87" t="e">
        <f>AND(Insects!L201,"AAAAAHe+73I=")</f>
        <v>#VALUE!</v>
      </c>
      <c r="DL87" t="e">
        <f>AND(Insects!M201,"AAAAAHe+73M=")</f>
        <v>#VALUE!</v>
      </c>
      <c r="DM87" t="e">
        <f>AND(Insects!N201,"AAAAAHe+73Q=")</f>
        <v>#VALUE!</v>
      </c>
      <c r="DN87" t="e">
        <f>AND(Insects!O201,"AAAAAHe+73U=")</f>
        <v>#VALUE!</v>
      </c>
      <c r="DO87" t="e">
        <f>AND(Insects!P201,"AAAAAHe+73Y=")</f>
        <v>#VALUE!</v>
      </c>
      <c r="DP87">
        <f>IF(Insects!202:202,"AAAAAHe+73c=",0)</f>
        <v>0</v>
      </c>
      <c r="DQ87" t="e">
        <f>AND(Insects!A202,"AAAAAHe+73g=")</f>
        <v>#VALUE!</v>
      </c>
      <c r="DR87" t="e">
        <f>AND(Insects!B202,"AAAAAHe+73k=")</f>
        <v>#VALUE!</v>
      </c>
      <c r="DS87" t="e">
        <f>AND(Insects!C202,"AAAAAHe+73o=")</f>
        <v>#VALUE!</v>
      </c>
      <c r="DT87" t="e">
        <f>AND(Insects!D202,"AAAAAHe+73s=")</f>
        <v>#VALUE!</v>
      </c>
      <c r="DU87" t="e">
        <f>AND(Insects!E202,"AAAAAHe+73w=")</f>
        <v>#VALUE!</v>
      </c>
      <c r="DV87" t="e">
        <f>AND(Insects!F202,"AAAAAHe+730=")</f>
        <v>#VALUE!</v>
      </c>
      <c r="DW87" t="e">
        <f>AND(Insects!G202,"AAAAAHe+734=")</f>
        <v>#VALUE!</v>
      </c>
      <c r="DX87" t="e">
        <f>AND(Insects!H202,"AAAAAHe+738=")</f>
        <v>#VALUE!</v>
      </c>
      <c r="DY87" t="e">
        <f>AND(Insects!I202,"AAAAAHe+74A=")</f>
        <v>#VALUE!</v>
      </c>
      <c r="DZ87" t="e">
        <f>AND(Insects!J202,"AAAAAHe+74E=")</f>
        <v>#VALUE!</v>
      </c>
      <c r="EA87" t="e">
        <f>AND(Insects!K202,"AAAAAHe+74I=")</f>
        <v>#VALUE!</v>
      </c>
      <c r="EB87" t="e">
        <f>AND(Insects!L202,"AAAAAHe+74M=")</f>
        <v>#VALUE!</v>
      </c>
      <c r="EC87" t="e">
        <f>AND(Insects!M202,"AAAAAHe+74Q=")</f>
        <v>#VALUE!</v>
      </c>
      <c r="ED87" t="e">
        <f>AND(Insects!N202,"AAAAAHe+74U=")</f>
        <v>#VALUE!</v>
      </c>
      <c r="EE87" t="e">
        <f>AND(Insects!O202,"AAAAAHe+74Y=")</f>
        <v>#VALUE!</v>
      </c>
      <c r="EF87" t="e">
        <f>AND(Insects!P202,"AAAAAHe+74c=")</f>
        <v>#VALUE!</v>
      </c>
      <c r="EG87">
        <f>IF(Insects!203:203,"AAAAAHe+74g=",0)</f>
        <v>0</v>
      </c>
      <c r="EH87" t="e">
        <f>AND(Insects!A203,"AAAAAHe+74k=")</f>
        <v>#VALUE!</v>
      </c>
      <c r="EI87" t="e">
        <f>AND(Insects!B203,"AAAAAHe+74o=")</f>
        <v>#VALUE!</v>
      </c>
      <c r="EJ87" t="e">
        <f>AND(Insects!C203,"AAAAAHe+74s=")</f>
        <v>#VALUE!</v>
      </c>
      <c r="EK87" t="e">
        <f>AND(Insects!D203,"AAAAAHe+74w=")</f>
        <v>#VALUE!</v>
      </c>
      <c r="EL87" t="e">
        <f>AND(Insects!E203,"AAAAAHe+740=")</f>
        <v>#VALUE!</v>
      </c>
      <c r="EM87" t="e">
        <f>AND(Insects!F203,"AAAAAHe+744=")</f>
        <v>#VALUE!</v>
      </c>
      <c r="EN87" t="e">
        <f>AND(Insects!G203,"AAAAAHe+748=")</f>
        <v>#VALUE!</v>
      </c>
      <c r="EO87" t="e">
        <f>AND(Insects!H203,"AAAAAHe+75A=")</f>
        <v>#VALUE!</v>
      </c>
      <c r="EP87" t="e">
        <f>AND(Insects!I203,"AAAAAHe+75E=")</f>
        <v>#VALUE!</v>
      </c>
      <c r="EQ87" t="e">
        <f>AND(Insects!J203,"AAAAAHe+75I=")</f>
        <v>#VALUE!</v>
      </c>
      <c r="ER87" t="e">
        <f>AND(Insects!K203,"AAAAAHe+75M=")</f>
        <v>#VALUE!</v>
      </c>
      <c r="ES87" t="e">
        <f>AND(Insects!L203,"AAAAAHe+75Q=")</f>
        <v>#VALUE!</v>
      </c>
      <c r="ET87" t="e">
        <f>AND(Insects!M203,"AAAAAHe+75U=")</f>
        <v>#VALUE!</v>
      </c>
      <c r="EU87" t="e">
        <f>AND(Insects!N203,"AAAAAHe+75Y=")</f>
        <v>#VALUE!</v>
      </c>
      <c r="EV87" t="e">
        <f>AND(Insects!O203,"AAAAAHe+75c=")</f>
        <v>#VALUE!</v>
      </c>
      <c r="EW87" t="e">
        <f>AND(Insects!P203,"AAAAAHe+75g=")</f>
        <v>#VALUE!</v>
      </c>
      <c r="EX87">
        <f>IF(Insects!204:204,"AAAAAHe+75k=",0)</f>
        <v>0</v>
      </c>
      <c r="EY87" t="e">
        <f>AND(Insects!A204,"AAAAAHe+75o=")</f>
        <v>#VALUE!</v>
      </c>
      <c r="EZ87" t="e">
        <f>AND(Insects!B204,"AAAAAHe+75s=")</f>
        <v>#VALUE!</v>
      </c>
      <c r="FA87" t="e">
        <f>AND(Insects!C204,"AAAAAHe+75w=")</f>
        <v>#VALUE!</v>
      </c>
      <c r="FB87" t="e">
        <f>AND(Insects!D204,"AAAAAHe+750=")</f>
        <v>#VALUE!</v>
      </c>
      <c r="FC87" t="e">
        <f>AND(Insects!E204,"AAAAAHe+754=")</f>
        <v>#VALUE!</v>
      </c>
      <c r="FD87" t="e">
        <f>AND(Insects!F204,"AAAAAHe+758=")</f>
        <v>#VALUE!</v>
      </c>
      <c r="FE87" t="e">
        <f>AND(Insects!G204,"AAAAAHe+76A=")</f>
        <v>#VALUE!</v>
      </c>
      <c r="FF87" t="e">
        <f>AND(Insects!H204,"AAAAAHe+76E=")</f>
        <v>#VALUE!</v>
      </c>
      <c r="FG87" t="e">
        <f>AND(Insects!I204,"AAAAAHe+76I=")</f>
        <v>#VALUE!</v>
      </c>
      <c r="FH87" t="e">
        <f>AND(Insects!J204,"AAAAAHe+76M=")</f>
        <v>#VALUE!</v>
      </c>
      <c r="FI87" t="e">
        <f>AND(Insects!K204,"AAAAAHe+76Q=")</f>
        <v>#VALUE!</v>
      </c>
      <c r="FJ87" t="e">
        <f>AND(Insects!L204,"AAAAAHe+76U=")</f>
        <v>#VALUE!</v>
      </c>
      <c r="FK87" t="e">
        <f>AND(Insects!M204,"AAAAAHe+76Y=")</f>
        <v>#VALUE!</v>
      </c>
      <c r="FL87" t="e">
        <f>AND(Insects!N204,"AAAAAHe+76c=")</f>
        <v>#VALUE!</v>
      </c>
      <c r="FM87" t="e">
        <f>AND(Insects!O204,"AAAAAHe+76g=")</f>
        <v>#VALUE!</v>
      </c>
      <c r="FN87" t="e">
        <f>AND(Insects!P204,"AAAAAHe+76k=")</f>
        <v>#VALUE!</v>
      </c>
      <c r="FO87">
        <f>IF(Insects!205:205,"AAAAAHe+76o=",0)</f>
        <v>0</v>
      </c>
      <c r="FP87" t="e">
        <f>AND(Insects!A205,"AAAAAHe+76s=")</f>
        <v>#VALUE!</v>
      </c>
      <c r="FQ87" t="e">
        <f>AND(Insects!B205,"AAAAAHe+76w=")</f>
        <v>#VALUE!</v>
      </c>
      <c r="FR87" t="e">
        <f>AND(Insects!C205,"AAAAAHe+760=")</f>
        <v>#VALUE!</v>
      </c>
      <c r="FS87" t="e">
        <f>AND(Insects!D205,"AAAAAHe+764=")</f>
        <v>#VALUE!</v>
      </c>
      <c r="FT87" t="e">
        <f>AND(Insects!E205,"AAAAAHe+768=")</f>
        <v>#VALUE!</v>
      </c>
      <c r="FU87" t="e">
        <f>AND(Insects!F205,"AAAAAHe+77A=")</f>
        <v>#VALUE!</v>
      </c>
      <c r="FV87" t="e">
        <f>AND(Insects!G205,"AAAAAHe+77E=")</f>
        <v>#VALUE!</v>
      </c>
      <c r="FW87" t="e">
        <f>AND(Insects!H205,"AAAAAHe+77I=")</f>
        <v>#VALUE!</v>
      </c>
      <c r="FX87" t="e">
        <f>AND(Insects!I205,"AAAAAHe+77M=")</f>
        <v>#VALUE!</v>
      </c>
      <c r="FY87" t="e">
        <f>AND(Insects!J205,"AAAAAHe+77Q=")</f>
        <v>#VALUE!</v>
      </c>
      <c r="FZ87" t="e">
        <f>AND(Insects!K205,"AAAAAHe+77U=")</f>
        <v>#VALUE!</v>
      </c>
      <c r="GA87" t="e">
        <f>AND(Insects!L205,"AAAAAHe+77Y=")</f>
        <v>#VALUE!</v>
      </c>
      <c r="GB87" t="e">
        <f>AND(Insects!M205,"AAAAAHe+77c=")</f>
        <v>#VALUE!</v>
      </c>
      <c r="GC87" t="e">
        <f>AND(Insects!N205,"AAAAAHe+77g=")</f>
        <v>#VALUE!</v>
      </c>
      <c r="GD87" t="e">
        <f>AND(Insects!O205,"AAAAAHe+77k=")</f>
        <v>#VALUE!</v>
      </c>
      <c r="GE87" t="e">
        <f>AND(Insects!P205,"AAAAAHe+77o=")</f>
        <v>#VALUE!</v>
      </c>
      <c r="GF87">
        <f>IF(Insects!206:206,"AAAAAHe+77s=",0)</f>
        <v>0</v>
      </c>
      <c r="GG87" t="e">
        <f>AND(Insects!A206,"AAAAAHe+77w=")</f>
        <v>#VALUE!</v>
      </c>
      <c r="GH87" t="e">
        <f>AND(Insects!B206,"AAAAAHe+770=")</f>
        <v>#VALUE!</v>
      </c>
      <c r="GI87" t="e">
        <f>AND(Insects!C206,"AAAAAHe+774=")</f>
        <v>#VALUE!</v>
      </c>
      <c r="GJ87" t="e">
        <f>AND(Insects!D206,"AAAAAHe+778=")</f>
        <v>#VALUE!</v>
      </c>
      <c r="GK87" t="e">
        <f>AND(Insects!E206,"AAAAAHe+78A=")</f>
        <v>#VALUE!</v>
      </c>
      <c r="GL87" t="e">
        <f>AND(Insects!F206,"AAAAAHe+78E=")</f>
        <v>#VALUE!</v>
      </c>
      <c r="GM87" t="e">
        <f>AND(Insects!G206,"AAAAAHe+78I=")</f>
        <v>#VALUE!</v>
      </c>
      <c r="GN87" t="e">
        <f>AND(Insects!H206,"AAAAAHe+78M=")</f>
        <v>#VALUE!</v>
      </c>
      <c r="GO87" t="e">
        <f>AND(Insects!I206,"AAAAAHe+78Q=")</f>
        <v>#VALUE!</v>
      </c>
      <c r="GP87" t="e">
        <f>AND(Insects!J206,"AAAAAHe+78U=")</f>
        <v>#VALUE!</v>
      </c>
      <c r="GQ87" t="e">
        <f>AND(Insects!K206,"AAAAAHe+78Y=")</f>
        <v>#VALUE!</v>
      </c>
      <c r="GR87" t="e">
        <f>AND(Insects!L206,"AAAAAHe+78c=")</f>
        <v>#VALUE!</v>
      </c>
      <c r="GS87" t="e">
        <f>AND(Insects!M206,"AAAAAHe+78g=")</f>
        <v>#VALUE!</v>
      </c>
      <c r="GT87" t="e">
        <f>AND(Insects!N206,"AAAAAHe+78k=")</f>
        <v>#VALUE!</v>
      </c>
      <c r="GU87" t="e">
        <f>AND(Insects!O206,"AAAAAHe+78o=")</f>
        <v>#VALUE!</v>
      </c>
      <c r="GV87" t="e">
        <f>AND(Insects!P206,"AAAAAHe+78s=")</f>
        <v>#VALUE!</v>
      </c>
      <c r="GW87">
        <f>IF(Insects!207:207,"AAAAAHe+78w=",0)</f>
        <v>0</v>
      </c>
      <c r="GX87" t="e">
        <f>AND(Insects!A207,"AAAAAHe+780=")</f>
        <v>#VALUE!</v>
      </c>
      <c r="GY87" t="e">
        <f>AND(Insects!B207,"AAAAAHe+784=")</f>
        <v>#VALUE!</v>
      </c>
      <c r="GZ87" t="e">
        <f>AND(Insects!C207,"AAAAAHe+788=")</f>
        <v>#VALUE!</v>
      </c>
      <c r="HA87" t="e">
        <f>AND(Insects!D207,"AAAAAHe+79A=")</f>
        <v>#VALUE!</v>
      </c>
      <c r="HB87" t="e">
        <f>AND(Insects!E207,"AAAAAHe+79E=")</f>
        <v>#VALUE!</v>
      </c>
      <c r="HC87" t="e">
        <f>AND(Insects!F207,"AAAAAHe+79I=")</f>
        <v>#VALUE!</v>
      </c>
      <c r="HD87" t="e">
        <f>AND(Insects!G207,"AAAAAHe+79M=")</f>
        <v>#VALUE!</v>
      </c>
      <c r="HE87" t="e">
        <f>AND(Insects!H207,"AAAAAHe+79Q=")</f>
        <v>#VALUE!</v>
      </c>
      <c r="HF87" t="e">
        <f>AND(Insects!I207,"AAAAAHe+79U=")</f>
        <v>#VALUE!</v>
      </c>
      <c r="HG87" t="e">
        <f>AND(Insects!J207,"AAAAAHe+79Y=")</f>
        <v>#VALUE!</v>
      </c>
      <c r="HH87" t="e">
        <f>AND(Insects!K207,"AAAAAHe+79c=")</f>
        <v>#VALUE!</v>
      </c>
      <c r="HI87" t="e">
        <f>AND(Insects!L207,"AAAAAHe+79g=")</f>
        <v>#VALUE!</v>
      </c>
      <c r="HJ87" t="e">
        <f>AND(Insects!M207,"AAAAAHe+79k=")</f>
        <v>#VALUE!</v>
      </c>
      <c r="HK87" t="e">
        <f>AND(Insects!N207,"AAAAAHe+79o=")</f>
        <v>#VALUE!</v>
      </c>
      <c r="HL87" t="e">
        <f>AND(Insects!O207,"AAAAAHe+79s=")</f>
        <v>#VALUE!</v>
      </c>
      <c r="HM87" t="e">
        <f>AND(Insects!P207,"AAAAAHe+79w=")</f>
        <v>#VALUE!</v>
      </c>
      <c r="HN87">
        <f>IF(Insects!208:208,"AAAAAHe+790=",0)</f>
        <v>0</v>
      </c>
      <c r="HO87" t="e">
        <f>AND(Insects!A208,"AAAAAHe+794=")</f>
        <v>#VALUE!</v>
      </c>
      <c r="HP87" t="e">
        <f>AND(Insects!B208,"AAAAAHe+798=")</f>
        <v>#VALUE!</v>
      </c>
      <c r="HQ87" t="e">
        <f>AND(Insects!C208,"AAAAAHe+7+A=")</f>
        <v>#VALUE!</v>
      </c>
      <c r="HR87" t="e">
        <f>AND(Insects!D208,"AAAAAHe+7+E=")</f>
        <v>#VALUE!</v>
      </c>
      <c r="HS87" t="e">
        <f>AND(Insects!E208,"AAAAAHe+7+I=")</f>
        <v>#VALUE!</v>
      </c>
      <c r="HT87" t="e">
        <f>AND(Insects!F208,"AAAAAHe+7+M=")</f>
        <v>#VALUE!</v>
      </c>
      <c r="HU87" t="e">
        <f>AND(Insects!G208,"AAAAAHe+7+Q=")</f>
        <v>#VALUE!</v>
      </c>
      <c r="HV87" t="e">
        <f>AND(Insects!H208,"AAAAAHe+7+U=")</f>
        <v>#VALUE!</v>
      </c>
      <c r="HW87" t="e">
        <f>AND(Insects!I208,"AAAAAHe+7+Y=")</f>
        <v>#VALUE!</v>
      </c>
      <c r="HX87" t="e">
        <f>AND(Insects!J208,"AAAAAHe+7+c=")</f>
        <v>#VALUE!</v>
      </c>
      <c r="HY87" t="e">
        <f>AND(Insects!K208,"AAAAAHe+7+g=")</f>
        <v>#VALUE!</v>
      </c>
      <c r="HZ87" t="e">
        <f>AND(Insects!L208,"AAAAAHe+7+k=")</f>
        <v>#VALUE!</v>
      </c>
      <c r="IA87" t="e">
        <f>AND(Insects!M208,"AAAAAHe+7+o=")</f>
        <v>#VALUE!</v>
      </c>
      <c r="IB87" t="e">
        <f>AND(Insects!N208,"AAAAAHe+7+s=")</f>
        <v>#VALUE!</v>
      </c>
      <c r="IC87" t="e">
        <f>AND(Insects!O208,"AAAAAHe+7+w=")</f>
        <v>#VALUE!</v>
      </c>
      <c r="ID87" t="e">
        <f>AND(Insects!P208,"AAAAAHe+7+0=")</f>
        <v>#VALUE!</v>
      </c>
      <c r="IE87">
        <f>IF(Insects!209:209,"AAAAAHe+7+4=",0)</f>
        <v>0</v>
      </c>
      <c r="IF87" t="e">
        <f>AND(Insects!A209,"AAAAAHe+7+8=")</f>
        <v>#VALUE!</v>
      </c>
      <c r="IG87" t="e">
        <f>AND(Insects!B209,"AAAAAHe+7/A=")</f>
        <v>#VALUE!</v>
      </c>
      <c r="IH87" t="e">
        <f>AND(Insects!C209,"AAAAAHe+7/E=")</f>
        <v>#VALUE!</v>
      </c>
      <c r="II87" t="e">
        <f>AND(Insects!D209,"AAAAAHe+7/I=")</f>
        <v>#VALUE!</v>
      </c>
      <c r="IJ87" t="e">
        <f>AND(Insects!E209,"AAAAAHe+7/M=")</f>
        <v>#VALUE!</v>
      </c>
      <c r="IK87" t="e">
        <f>AND(Insects!F209,"AAAAAHe+7/Q=")</f>
        <v>#VALUE!</v>
      </c>
      <c r="IL87" t="e">
        <f>AND(Insects!G209,"AAAAAHe+7/U=")</f>
        <v>#VALUE!</v>
      </c>
      <c r="IM87" t="e">
        <f>AND(Insects!H209,"AAAAAHe+7/Y=")</f>
        <v>#VALUE!</v>
      </c>
      <c r="IN87" t="e">
        <f>AND(Insects!I209,"AAAAAHe+7/c=")</f>
        <v>#VALUE!</v>
      </c>
      <c r="IO87" t="e">
        <f>AND(Insects!J209,"AAAAAHe+7/g=")</f>
        <v>#VALUE!</v>
      </c>
      <c r="IP87" t="e">
        <f>AND(Insects!K209,"AAAAAHe+7/k=")</f>
        <v>#VALUE!</v>
      </c>
      <c r="IQ87" t="e">
        <f>AND(Insects!L209,"AAAAAHe+7/o=")</f>
        <v>#VALUE!</v>
      </c>
      <c r="IR87" t="e">
        <f>AND(Insects!M209,"AAAAAHe+7/s=")</f>
        <v>#VALUE!</v>
      </c>
      <c r="IS87" t="e">
        <f>AND(Insects!N209,"AAAAAHe+7/w=")</f>
        <v>#VALUE!</v>
      </c>
      <c r="IT87" t="e">
        <f>AND(Insects!O209,"AAAAAHe+7/0=")</f>
        <v>#VALUE!</v>
      </c>
      <c r="IU87" t="e">
        <f>AND(Insects!P209,"AAAAAHe+7/4=")</f>
        <v>#VALUE!</v>
      </c>
      <c r="IV87">
        <f>IF(Insects!210:210,"AAAAAHe+7/8=",0)</f>
        <v>0</v>
      </c>
    </row>
    <row r="88" spans="1:256">
      <c r="A88" t="e">
        <f>AND(Insects!A210,"AAAAAE7dzwA=")</f>
        <v>#VALUE!</v>
      </c>
      <c r="B88" t="e">
        <f>AND(Insects!B210,"AAAAAE7dzwE=")</f>
        <v>#VALUE!</v>
      </c>
      <c r="C88" t="e">
        <f>AND(Insects!C210,"AAAAAE7dzwI=")</f>
        <v>#VALUE!</v>
      </c>
      <c r="D88" t="e">
        <f>AND(Insects!D210,"AAAAAE7dzwM=")</f>
        <v>#VALUE!</v>
      </c>
      <c r="E88" t="e">
        <f>AND(Insects!E210,"AAAAAE7dzwQ=")</f>
        <v>#VALUE!</v>
      </c>
      <c r="F88" t="e">
        <f>AND(Insects!F210,"AAAAAE7dzwU=")</f>
        <v>#VALUE!</v>
      </c>
      <c r="G88" t="e">
        <f>AND(Insects!G210,"AAAAAE7dzwY=")</f>
        <v>#VALUE!</v>
      </c>
      <c r="H88" t="e">
        <f>AND(Insects!H210,"AAAAAE7dzwc=")</f>
        <v>#VALUE!</v>
      </c>
      <c r="I88" t="e">
        <f>AND(Insects!I210,"AAAAAE7dzwg=")</f>
        <v>#VALUE!</v>
      </c>
      <c r="J88" t="e">
        <f>AND(Insects!J210,"AAAAAE7dzwk=")</f>
        <v>#VALUE!</v>
      </c>
      <c r="K88" t="e">
        <f>AND(Insects!K210,"AAAAAE7dzwo=")</f>
        <v>#VALUE!</v>
      </c>
      <c r="L88" t="e">
        <f>AND(Insects!L210,"AAAAAE7dzws=")</f>
        <v>#VALUE!</v>
      </c>
      <c r="M88" t="e">
        <f>AND(Insects!M210,"AAAAAE7dzww=")</f>
        <v>#VALUE!</v>
      </c>
      <c r="N88" t="e">
        <f>AND(Insects!N210,"AAAAAE7dzw0=")</f>
        <v>#VALUE!</v>
      </c>
      <c r="O88" t="e">
        <f>AND(Insects!O210,"AAAAAE7dzw4=")</f>
        <v>#VALUE!</v>
      </c>
      <c r="P88" t="e">
        <f>AND(Insects!P210,"AAAAAE7dzw8=")</f>
        <v>#VALUE!</v>
      </c>
      <c r="Q88">
        <f>IF(Insects!211:211,"AAAAAE7dzxA=",0)</f>
        <v>0</v>
      </c>
      <c r="R88" t="e">
        <f>AND(Insects!A211,"AAAAAE7dzxE=")</f>
        <v>#VALUE!</v>
      </c>
      <c r="S88" t="e">
        <f>AND(Insects!B211,"AAAAAE7dzxI=")</f>
        <v>#VALUE!</v>
      </c>
      <c r="T88" t="e">
        <f>AND(Insects!C211,"AAAAAE7dzxM=")</f>
        <v>#VALUE!</v>
      </c>
      <c r="U88" t="e">
        <f>AND(Insects!D211,"AAAAAE7dzxQ=")</f>
        <v>#VALUE!</v>
      </c>
      <c r="V88" t="e">
        <f>AND(Insects!E211,"AAAAAE7dzxU=")</f>
        <v>#VALUE!</v>
      </c>
      <c r="W88" t="e">
        <f>AND(Insects!F211,"AAAAAE7dzxY=")</f>
        <v>#VALUE!</v>
      </c>
      <c r="X88" t="e">
        <f>AND(Insects!G211,"AAAAAE7dzxc=")</f>
        <v>#VALUE!</v>
      </c>
      <c r="Y88" t="e">
        <f>AND(Insects!H211,"AAAAAE7dzxg=")</f>
        <v>#VALUE!</v>
      </c>
      <c r="Z88" t="e">
        <f>AND(Insects!I211,"AAAAAE7dzxk=")</f>
        <v>#VALUE!</v>
      </c>
      <c r="AA88" t="e">
        <f>AND(Insects!J211,"AAAAAE7dzxo=")</f>
        <v>#VALUE!</v>
      </c>
      <c r="AB88" t="e">
        <f>AND(Insects!K211,"AAAAAE7dzxs=")</f>
        <v>#VALUE!</v>
      </c>
      <c r="AC88" t="e">
        <f>AND(Insects!L211,"AAAAAE7dzxw=")</f>
        <v>#VALUE!</v>
      </c>
      <c r="AD88" t="e">
        <f>AND(Insects!M211,"AAAAAE7dzx0=")</f>
        <v>#VALUE!</v>
      </c>
      <c r="AE88" t="e">
        <f>AND(Insects!N211,"AAAAAE7dzx4=")</f>
        <v>#VALUE!</v>
      </c>
      <c r="AF88" t="e">
        <f>AND(Insects!O211,"AAAAAE7dzx8=")</f>
        <v>#VALUE!</v>
      </c>
      <c r="AG88" t="e">
        <f>AND(Insects!P211,"AAAAAE7dzyA=")</f>
        <v>#VALUE!</v>
      </c>
      <c r="AH88">
        <f>IF(Insects!212:212,"AAAAAE7dzyE=",0)</f>
        <v>0</v>
      </c>
      <c r="AI88" t="e">
        <f>AND(Insects!A212,"AAAAAE7dzyI=")</f>
        <v>#VALUE!</v>
      </c>
      <c r="AJ88" t="e">
        <f>AND(Insects!B212,"AAAAAE7dzyM=")</f>
        <v>#VALUE!</v>
      </c>
      <c r="AK88" t="e">
        <f>AND(Insects!C212,"AAAAAE7dzyQ=")</f>
        <v>#VALUE!</v>
      </c>
      <c r="AL88" t="e">
        <f>AND(Insects!D212,"AAAAAE7dzyU=")</f>
        <v>#VALUE!</v>
      </c>
      <c r="AM88" t="e">
        <f>AND(Insects!E212,"AAAAAE7dzyY=")</f>
        <v>#VALUE!</v>
      </c>
      <c r="AN88" t="e">
        <f>AND(Insects!F212,"AAAAAE7dzyc=")</f>
        <v>#VALUE!</v>
      </c>
      <c r="AO88" t="e">
        <f>AND(Insects!G212,"AAAAAE7dzyg=")</f>
        <v>#VALUE!</v>
      </c>
      <c r="AP88" t="e">
        <f>AND(Insects!H212,"AAAAAE7dzyk=")</f>
        <v>#VALUE!</v>
      </c>
      <c r="AQ88" t="e">
        <f>AND(Insects!I212,"AAAAAE7dzyo=")</f>
        <v>#VALUE!</v>
      </c>
      <c r="AR88" t="e">
        <f>AND(Insects!J212,"AAAAAE7dzys=")</f>
        <v>#VALUE!</v>
      </c>
      <c r="AS88" t="e">
        <f>AND(Insects!K212,"AAAAAE7dzyw=")</f>
        <v>#VALUE!</v>
      </c>
      <c r="AT88" t="e">
        <f>AND(Insects!L212,"AAAAAE7dzy0=")</f>
        <v>#VALUE!</v>
      </c>
      <c r="AU88" t="e">
        <f>AND(Insects!M212,"AAAAAE7dzy4=")</f>
        <v>#VALUE!</v>
      </c>
      <c r="AV88" t="e">
        <f>AND(Insects!N212,"AAAAAE7dzy8=")</f>
        <v>#VALUE!</v>
      </c>
      <c r="AW88" t="e">
        <f>AND(Insects!O212,"AAAAAE7dzzA=")</f>
        <v>#VALUE!</v>
      </c>
      <c r="AX88" t="e">
        <f>AND(Insects!P212,"AAAAAE7dzzE=")</f>
        <v>#VALUE!</v>
      </c>
      <c r="AY88">
        <f>IF(Insects!213:213,"AAAAAE7dzzI=",0)</f>
        <v>0</v>
      </c>
      <c r="AZ88" t="e">
        <f>AND(Insects!A213,"AAAAAE7dzzM=")</f>
        <v>#VALUE!</v>
      </c>
      <c r="BA88" t="e">
        <f>AND(Insects!B213,"AAAAAE7dzzQ=")</f>
        <v>#VALUE!</v>
      </c>
      <c r="BB88" t="e">
        <f>AND(Insects!C213,"AAAAAE7dzzU=")</f>
        <v>#VALUE!</v>
      </c>
      <c r="BC88" t="e">
        <f>AND(Insects!D213,"AAAAAE7dzzY=")</f>
        <v>#VALUE!</v>
      </c>
      <c r="BD88" t="e">
        <f>AND(Insects!E213,"AAAAAE7dzzc=")</f>
        <v>#VALUE!</v>
      </c>
      <c r="BE88" t="e">
        <f>AND(Insects!F213,"AAAAAE7dzzg=")</f>
        <v>#VALUE!</v>
      </c>
      <c r="BF88" t="e">
        <f>AND(Insects!G213,"AAAAAE7dzzk=")</f>
        <v>#VALUE!</v>
      </c>
      <c r="BG88" t="e">
        <f>AND(Insects!H213,"AAAAAE7dzzo=")</f>
        <v>#VALUE!</v>
      </c>
      <c r="BH88" t="e">
        <f>AND(Insects!I213,"AAAAAE7dzzs=")</f>
        <v>#VALUE!</v>
      </c>
      <c r="BI88" t="e">
        <f>AND(Insects!J213,"AAAAAE7dzzw=")</f>
        <v>#VALUE!</v>
      </c>
      <c r="BJ88" t="e">
        <f>AND(Insects!K213,"AAAAAE7dzz0=")</f>
        <v>#VALUE!</v>
      </c>
      <c r="BK88" t="e">
        <f>AND(Insects!L213,"AAAAAE7dzz4=")</f>
        <v>#VALUE!</v>
      </c>
      <c r="BL88" t="e">
        <f>AND(Insects!M213,"AAAAAE7dzz8=")</f>
        <v>#VALUE!</v>
      </c>
      <c r="BM88" t="e">
        <f>AND(Insects!N213,"AAAAAE7dz0A=")</f>
        <v>#VALUE!</v>
      </c>
      <c r="BN88" t="e">
        <f>AND(Insects!O213,"AAAAAE7dz0E=")</f>
        <v>#VALUE!</v>
      </c>
      <c r="BO88" t="e">
        <f>AND(Insects!P213,"AAAAAE7dz0I=")</f>
        <v>#VALUE!</v>
      </c>
      <c r="BP88">
        <f>IF(Insects!214:214,"AAAAAE7dz0M=",0)</f>
        <v>0</v>
      </c>
      <c r="BQ88" t="e">
        <f>AND(Insects!A214,"AAAAAE7dz0Q=")</f>
        <v>#VALUE!</v>
      </c>
      <c r="BR88" t="e">
        <f>AND(Insects!B214,"AAAAAE7dz0U=")</f>
        <v>#VALUE!</v>
      </c>
      <c r="BS88" t="e">
        <f>AND(Insects!C214,"AAAAAE7dz0Y=")</f>
        <v>#VALUE!</v>
      </c>
      <c r="BT88" t="e">
        <f>AND(Insects!D214,"AAAAAE7dz0c=")</f>
        <v>#VALUE!</v>
      </c>
      <c r="BU88" t="e">
        <f>AND(Insects!E214,"AAAAAE7dz0g=")</f>
        <v>#VALUE!</v>
      </c>
      <c r="BV88" t="e">
        <f>AND(Insects!F214,"AAAAAE7dz0k=")</f>
        <v>#VALUE!</v>
      </c>
      <c r="BW88" t="e">
        <f>AND(Insects!G214,"AAAAAE7dz0o=")</f>
        <v>#VALUE!</v>
      </c>
      <c r="BX88" t="e">
        <f>AND(Insects!H214,"AAAAAE7dz0s=")</f>
        <v>#VALUE!</v>
      </c>
      <c r="BY88" t="e">
        <f>AND(Insects!I214,"AAAAAE7dz0w=")</f>
        <v>#VALUE!</v>
      </c>
      <c r="BZ88" t="e">
        <f>AND(Insects!J214,"AAAAAE7dz00=")</f>
        <v>#VALUE!</v>
      </c>
      <c r="CA88" t="e">
        <f>AND(Insects!K214,"AAAAAE7dz04=")</f>
        <v>#VALUE!</v>
      </c>
      <c r="CB88" t="e">
        <f>AND(Insects!L214,"AAAAAE7dz08=")</f>
        <v>#VALUE!</v>
      </c>
      <c r="CC88" t="e">
        <f>AND(Insects!M214,"AAAAAE7dz1A=")</f>
        <v>#VALUE!</v>
      </c>
      <c r="CD88" t="e">
        <f>AND(Insects!N214,"AAAAAE7dz1E=")</f>
        <v>#VALUE!</v>
      </c>
      <c r="CE88" t="e">
        <f>AND(Insects!O214,"AAAAAE7dz1I=")</f>
        <v>#VALUE!</v>
      </c>
      <c r="CF88" t="e">
        <f>AND(Insects!P214,"AAAAAE7dz1M=")</f>
        <v>#VALUE!</v>
      </c>
      <c r="CG88">
        <f>IF(Insects!215:215,"AAAAAE7dz1Q=",0)</f>
        <v>0</v>
      </c>
      <c r="CH88" t="e">
        <f>AND(Insects!A215,"AAAAAE7dz1U=")</f>
        <v>#VALUE!</v>
      </c>
      <c r="CI88" t="e">
        <f>AND(Insects!B215,"AAAAAE7dz1Y=")</f>
        <v>#VALUE!</v>
      </c>
      <c r="CJ88" t="e">
        <f>AND(Insects!C215,"AAAAAE7dz1c=")</f>
        <v>#VALUE!</v>
      </c>
      <c r="CK88" t="e">
        <f>AND(Insects!D215,"AAAAAE7dz1g=")</f>
        <v>#VALUE!</v>
      </c>
      <c r="CL88" t="e">
        <f>AND(Insects!E215,"AAAAAE7dz1k=")</f>
        <v>#VALUE!</v>
      </c>
      <c r="CM88" t="e">
        <f>AND(Insects!F215,"AAAAAE7dz1o=")</f>
        <v>#VALUE!</v>
      </c>
      <c r="CN88" t="e">
        <f>AND(Insects!G215,"AAAAAE7dz1s=")</f>
        <v>#VALUE!</v>
      </c>
      <c r="CO88" t="e">
        <f>AND(Insects!H215,"AAAAAE7dz1w=")</f>
        <v>#VALUE!</v>
      </c>
      <c r="CP88" t="e">
        <f>AND(Insects!I215,"AAAAAE7dz10=")</f>
        <v>#VALUE!</v>
      </c>
      <c r="CQ88" t="e">
        <f>AND(Insects!J215,"AAAAAE7dz14=")</f>
        <v>#VALUE!</v>
      </c>
      <c r="CR88" t="e">
        <f>AND(Insects!K215,"AAAAAE7dz18=")</f>
        <v>#VALUE!</v>
      </c>
      <c r="CS88" t="e">
        <f>AND(Insects!L215,"AAAAAE7dz2A=")</f>
        <v>#VALUE!</v>
      </c>
      <c r="CT88" t="e">
        <f>AND(Insects!M215,"AAAAAE7dz2E=")</f>
        <v>#VALUE!</v>
      </c>
      <c r="CU88" t="e">
        <f>AND(Insects!N215,"AAAAAE7dz2I=")</f>
        <v>#VALUE!</v>
      </c>
      <c r="CV88" t="e">
        <f>AND(Insects!O215,"AAAAAE7dz2M=")</f>
        <v>#VALUE!</v>
      </c>
      <c r="CW88" t="e">
        <f>AND(Insects!P215,"AAAAAE7dz2Q=")</f>
        <v>#VALUE!</v>
      </c>
      <c r="CX88">
        <f>IF(Insects!216:216,"AAAAAE7dz2U=",0)</f>
        <v>0</v>
      </c>
      <c r="CY88" t="e">
        <f>AND(Insects!A216,"AAAAAE7dz2Y=")</f>
        <v>#VALUE!</v>
      </c>
      <c r="CZ88" t="e">
        <f>AND(Insects!B216,"AAAAAE7dz2c=")</f>
        <v>#VALUE!</v>
      </c>
      <c r="DA88" t="e">
        <f>AND(Insects!C216,"AAAAAE7dz2g=")</f>
        <v>#VALUE!</v>
      </c>
      <c r="DB88" t="e">
        <f>AND(Insects!D216,"AAAAAE7dz2k=")</f>
        <v>#VALUE!</v>
      </c>
      <c r="DC88" t="e">
        <f>AND(Insects!E216,"AAAAAE7dz2o=")</f>
        <v>#VALUE!</v>
      </c>
      <c r="DD88" t="e">
        <f>AND(Insects!F216,"AAAAAE7dz2s=")</f>
        <v>#VALUE!</v>
      </c>
      <c r="DE88" t="e">
        <f>AND(Insects!G216,"AAAAAE7dz2w=")</f>
        <v>#VALUE!</v>
      </c>
      <c r="DF88" t="e">
        <f>AND(Insects!H216,"AAAAAE7dz20=")</f>
        <v>#VALUE!</v>
      </c>
      <c r="DG88" t="e">
        <f>AND(Insects!I216,"AAAAAE7dz24=")</f>
        <v>#VALUE!</v>
      </c>
      <c r="DH88" t="e">
        <f>AND(Insects!J216,"AAAAAE7dz28=")</f>
        <v>#VALUE!</v>
      </c>
      <c r="DI88" t="e">
        <f>AND(Insects!K216,"AAAAAE7dz3A=")</f>
        <v>#VALUE!</v>
      </c>
      <c r="DJ88" t="e">
        <f>AND(Insects!L216,"AAAAAE7dz3E=")</f>
        <v>#VALUE!</v>
      </c>
      <c r="DK88" t="e">
        <f>AND(Insects!M216,"AAAAAE7dz3I=")</f>
        <v>#VALUE!</v>
      </c>
      <c r="DL88" t="e">
        <f>AND(Insects!N216,"AAAAAE7dz3M=")</f>
        <v>#VALUE!</v>
      </c>
      <c r="DM88" t="e">
        <f>AND(Insects!O216,"AAAAAE7dz3Q=")</f>
        <v>#VALUE!</v>
      </c>
      <c r="DN88" t="e">
        <f>AND(Insects!P216,"AAAAAE7dz3U=")</f>
        <v>#VALUE!</v>
      </c>
      <c r="DO88">
        <f>IF(Insects!217:217,"AAAAAE7dz3Y=",0)</f>
        <v>0</v>
      </c>
      <c r="DP88" t="e">
        <f>AND(Insects!A217,"AAAAAE7dz3c=")</f>
        <v>#VALUE!</v>
      </c>
      <c r="DQ88" t="e">
        <f>AND(Insects!B217,"AAAAAE7dz3g=")</f>
        <v>#VALUE!</v>
      </c>
      <c r="DR88" t="e">
        <f>AND(Insects!C217,"AAAAAE7dz3k=")</f>
        <v>#VALUE!</v>
      </c>
      <c r="DS88" t="e">
        <f>AND(Insects!D217,"AAAAAE7dz3o=")</f>
        <v>#VALUE!</v>
      </c>
      <c r="DT88" t="e">
        <f>AND(Insects!E217,"AAAAAE7dz3s=")</f>
        <v>#VALUE!</v>
      </c>
      <c r="DU88" t="e">
        <f>AND(Insects!F217,"AAAAAE7dz3w=")</f>
        <v>#VALUE!</v>
      </c>
      <c r="DV88" t="e">
        <f>AND(Insects!G217,"AAAAAE7dz30=")</f>
        <v>#VALUE!</v>
      </c>
      <c r="DW88" t="e">
        <f>AND(Insects!H217,"AAAAAE7dz34=")</f>
        <v>#VALUE!</v>
      </c>
      <c r="DX88" t="e">
        <f>AND(Insects!I217,"AAAAAE7dz38=")</f>
        <v>#VALUE!</v>
      </c>
      <c r="DY88" t="e">
        <f>AND(Insects!J217,"AAAAAE7dz4A=")</f>
        <v>#VALUE!</v>
      </c>
      <c r="DZ88" t="e">
        <f>AND(Insects!K217,"AAAAAE7dz4E=")</f>
        <v>#VALUE!</v>
      </c>
      <c r="EA88" t="e">
        <f>AND(Insects!L217,"AAAAAE7dz4I=")</f>
        <v>#VALUE!</v>
      </c>
      <c r="EB88" t="e">
        <f>AND(Insects!M217,"AAAAAE7dz4M=")</f>
        <v>#VALUE!</v>
      </c>
      <c r="EC88" t="e">
        <f>AND(Insects!N217,"AAAAAE7dz4Q=")</f>
        <v>#VALUE!</v>
      </c>
      <c r="ED88" t="e">
        <f>AND(Insects!O217,"AAAAAE7dz4U=")</f>
        <v>#VALUE!</v>
      </c>
      <c r="EE88" t="e">
        <f>AND(Insects!P217,"AAAAAE7dz4Y=")</f>
        <v>#VALUE!</v>
      </c>
      <c r="EF88">
        <f>IF(Insects!218:218,"AAAAAE7dz4c=",0)</f>
        <v>0</v>
      </c>
      <c r="EG88" t="e">
        <f>AND(Insects!A218,"AAAAAE7dz4g=")</f>
        <v>#VALUE!</v>
      </c>
      <c r="EH88" t="e">
        <f>AND(Insects!B218,"AAAAAE7dz4k=")</f>
        <v>#VALUE!</v>
      </c>
      <c r="EI88" t="e">
        <f>AND(Insects!C218,"AAAAAE7dz4o=")</f>
        <v>#VALUE!</v>
      </c>
      <c r="EJ88" t="e">
        <f>AND(Insects!D218,"AAAAAE7dz4s=")</f>
        <v>#VALUE!</v>
      </c>
      <c r="EK88" t="e">
        <f>AND(Insects!E218,"AAAAAE7dz4w=")</f>
        <v>#VALUE!</v>
      </c>
      <c r="EL88" t="e">
        <f>AND(Insects!F218,"AAAAAE7dz40=")</f>
        <v>#VALUE!</v>
      </c>
      <c r="EM88" t="e">
        <f>AND(Insects!G218,"AAAAAE7dz44=")</f>
        <v>#VALUE!</v>
      </c>
      <c r="EN88" t="e">
        <f>AND(Insects!H218,"AAAAAE7dz48=")</f>
        <v>#VALUE!</v>
      </c>
      <c r="EO88" t="e">
        <f>AND(Insects!I218,"AAAAAE7dz5A=")</f>
        <v>#VALUE!</v>
      </c>
      <c r="EP88" t="e">
        <f>AND(Insects!J218,"AAAAAE7dz5E=")</f>
        <v>#VALUE!</v>
      </c>
      <c r="EQ88" t="e">
        <f>AND(Insects!K218,"AAAAAE7dz5I=")</f>
        <v>#VALUE!</v>
      </c>
      <c r="ER88" t="e">
        <f>AND(Insects!L218,"AAAAAE7dz5M=")</f>
        <v>#VALUE!</v>
      </c>
      <c r="ES88" t="e">
        <f>AND(Insects!M218,"AAAAAE7dz5Q=")</f>
        <v>#VALUE!</v>
      </c>
      <c r="ET88" t="e">
        <f>AND(Insects!N218,"AAAAAE7dz5U=")</f>
        <v>#VALUE!</v>
      </c>
      <c r="EU88" t="e">
        <f>AND(Insects!O218,"AAAAAE7dz5Y=")</f>
        <v>#VALUE!</v>
      </c>
      <c r="EV88" t="e">
        <f>AND(Insects!P218,"AAAAAE7dz5c=")</f>
        <v>#VALUE!</v>
      </c>
      <c r="EW88">
        <f>IF(Insects!219:219,"AAAAAE7dz5g=",0)</f>
        <v>0</v>
      </c>
      <c r="EX88" t="e">
        <f>AND(Insects!A219,"AAAAAE7dz5k=")</f>
        <v>#VALUE!</v>
      </c>
      <c r="EY88" t="e">
        <f>AND(Insects!B219,"AAAAAE7dz5o=")</f>
        <v>#VALUE!</v>
      </c>
      <c r="EZ88" t="e">
        <f>AND(Insects!C219,"AAAAAE7dz5s=")</f>
        <v>#VALUE!</v>
      </c>
      <c r="FA88" t="e">
        <f>AND(Insects!D219,"AAAAAE7dz5w=")</f>
        <v>#VALUE!</v>
      </c>
      <c r="FB88" t="e">
        <f>AND(Insects!E219,"AAAAAE7dz50=")</f>
        <v>#VALUE!</v>
      </c>
      <c r="FC88" t="e">
        <f>AND(Insects!F219,"AAAAAE7dz54=")</f>
        <v>#VALUE!</v>
      </c>
      <c r="FD88" t="e">
        <f>AND(Insects!G219,"AAAAAE7dz58=")</f>
        <v>#VALUE!</v>
      </c>
      <c r="FE88" t="e">
        <f>AND(Insects!H219,"AAAAAE7dz6A=")</f>
        <v>#VALUE!</v>
      </c>
      <c r="FF88" t="e">
        <f>AND(Insects!I219,"AAAAAE7dz6E=")</f>
        <v>#VALUE!</v>
      </c>
      <c r="FG88" t="e">
        <f>AND(Insects!J219,"AAAAAE7dz6I=")</f>
        <v>#VALUE!</v>
      </c>
      <c r="FH88" t="e">
        <f>AND(Insects!K219,"AAAAAE7dz6M=")</f>
        <v>#VALUE!</v>
      </c>
      <c r="FI88" t="e">
        <f>AND(Insects!L219,"AAAAAE7dz6Q=")</f>
        <v>#VALUE!</v>
      </c>
      <c r="FJ88" t="e">
        <f>AND(Insects!M219,"AAAAAE7dz6U=")</f>
        <v>#VALUE!</v>
      </c>
      <c r="FK88" t="e">
        <f>AND(Insects!N219,"AAAAAE7dz6Y=")</f>
        <v>#VALUE!</v>
      </c>
      <c r="FL88" t="e">
        <f>AND(Insects!O219,"AAAAAE7dz6c=")</f>
        <v>#VALUE!</v>
      </c>
      <c r="FM88" t="e">
        <f>AND(Insects!P219,"AAAAAE7dz6g=")</f>
        <v>#VALUE!</v>
      </c>
      <c r="FN88">
        <f>IF(Insects!220:220,"AAAAAE7dz6k=",0)</f>
        <v>0</v>
      </c>
      <c r="FO88" t="e">
        <f>AND(Insects!A220,"AAAAAE7dz6o=")</f>
        <v>#VALUE!</v>
      </c>
      <c r="FP88" t="e">
        <f>AND(Insects!B220,"AAAAAE7dz6s=")</f>
        <v>#VALUE!</v>
      </c>
      <c r="FQ88" t="e">
        <f>AND(Insects!C220,"AAAAAE7dz6w=")</f>
        <v>#VALUE!</v>
      </c>
      <c r="FR88" t="e">
        <f>AND(Insects!D220,"AAAAAE7dz60=")</f>
        <v>#VALUE!</v>
      </c>
      <c r="FS88" t="e">
        <f>AND(Insects!E220,"AAAAAE7dz64=")</f>
        <v>#VALUE!</v>
      </c>
      <c r="FT88" t="e">
        <f>AND(Insects!F220,"AAAAAE7dz68=")</f>
        <v>#VALUE!</v>
      </c>
      <c r="FU88" t="e">
        <f>AND(Insects!G220,"AAAAAE7dz7A=")</f>
        <v>#VALUE!</v>
      </c>
      <c r="FV88" t="e">
        <f>AND(Insects!H220,"AAAAAE7dz7E=")</f>
        <v>#VALUE!</v>
      </c>
      <c r="FW88" t="e">
        <f>AND(Insects!I220,"AAAAAE7dz7I=")</f>
        <v>#VALUE!</v>
      </c>
      <c r="FX88" t="e">
        <f>AND(Insects!J220,"AAAAAE7dz7M=")</f>
        <v>#VALUE!</v>
      </c>
      <c r="FY88" t="e">
        <f>AND(Insects!K220,"AAAAAE7dz7Q=")</f>
        <v>#VALUE!</v>
      </c>
      <c r="FZ88" t="e">
        <f>AND(Insects!L220,"AAAAAE7dz7U=")</f>
        <v>#VALUE!</v>
      </c>
      <c r="GA88" t="e">
        <f>AND(Insects!M220,"AAAAAE7dz7Y=")</f>
        <v>#VALUE!</v>
      </c>
      <c r="GB88" t="e">
        <f>AND(Insects!N220,"AAAAAE7dz7c=")</f>
        <v>#VALUE!</v>
      </c>
      <c r="GC88" t="e">
        <f>AND(Insects!O220,"AAAAAE7dz7g=")</f>
        <v>#VALUE!</v>
      </c>
      <c r="GD88" t="e">
        <f>AND(Insects!P220,"AAAAAE7dz7k=")</f>
        <v>#VALUE!</v>
      </c>
      <c r="GE88">
        <f>IF(Insects!221:221,"AAAAAE7dz7o=",0)</f>
        <v>0</v>
      </c>
      <c r="GF88" t="e">
        <f>AND(Insects!A221,"AAAAAE7dz7s=")</f>
        <v>#VALUE!</v>
      </c>
      <c r="GG88" t="e">
        <f>AND(Insects!B221,"AAAAAE7dz7w=")</f>
        <v>#VALUE!</v>
      </c>
      <c r="GH88" t="e">
        <f>AND(Insects!C221,"AAAAAE7dz70=")</f>
        <v>#VALUE!</v>
      </c>
      <c r="GI88" t="e">
        <f>AND(Insects!D221,"AAAAAE7dz74=")</f>
        <v>#VALUE!</v>
      </c>
      <c r="GJ88" t="e">
        <f>AND(Insects!E221,"AAAAAE7dz78=")</f>
        <v>#VALUE!</v>
      </c>
      <c r="GK88" t="e">
        <f>AND(Insects!F221,"AAAAAE7dz8A=")</f>
        <v>#VALUE!</v>
      </c>
      <c r="GL88" t="e">
        <f>AND(Insects!G221,"AAAAAE7dz8E=")</f>
        <v>#VALUE!</v>
      </c>
      <c r="GM88" t="e">
        <f>AND(Insects!H221,"AAAAAE7dz8I=")</f>
        <v>#VALUE!</v>
      </c>
      <c r="GN88" t="e">
        <f>AND(Insects!I221,"AAAAAE7dz8M=")</f>
        <v>#VALUE!</v>
      </c>
      <c r="GO88" t="e">
        <f>AND(Insects!J221,"AAAAAE7dz8Q=")</f>
        <v>#VALUE!</v>
      </c>
      <c r="GP88" t="e">
        <f>AND(Insects!K221,"AAAAAE7dz8U=")</f>
        <v>#VALUE!</v>
      </c>
      <c r="GQ88" t="e">
        <f>AND(Insects!L221,"AAAAAE7dz8Y=")</f>
        <v>#VALUE!</v>
      </c>
      <c r="GR88" t="e">
        <f>AND(Insects!M221,"AAAAAE7dz8c=")</f>
        <v>#VALUE!</v>
      </c>
      <c r="GS88" t="e">
        <f>AND(Insects!N221,"AAAAAE7dz8g=")</f>
        <v>#VALUE!</v>
      </c>
      <c r="GT88" t="e">
        <f>AND(Insects!O221,"AAAAAE7dz8k=")</f>
        <v>#VALUE!</v>
      </c>
      <c r="GU88" t="e">
        <f>AND(Insects!P221,"AAAAAE7dz8o=")</f>
        <v>#VALUE!</v>
      </c>
      <c r="GV88">
        <f>IF(Insects!222:222,"AAAAAE7dz8s=",0)</f>
        <v>0</v>
      </c>
      <c r="GW88" t="e">
        <f>AND(Insects!A222,"AAAAAE7dz8w=")</f>
        <v>#VALUE!</v>
      </c>
      <c r="GX88" t="e">
        <f>AND(Insects!B222,"AAAAAE7dz80=")</f>
        <v>#VALUE!</v>
      </c>
      <c r="GY88" t="e">
        <f>AND(Insects!C222,"AAAAAE7dz84=")</f>
        <v>#VALUE!</v>
      </c>
      <c r="GZ88" t="e">
        <f>AND(Insects!D222,"AAAAAE7dz88=")</f>
        <v>#VALUE!</v>
      </c>
      <c r="HA88" t="e">
        <f>AND(Insects!E222,"AAAAAE7dz9A=")</f>
        <v>#VALUE!</v>
      </c>
      <c r="HB88" t="e">
        <f>AND(Insects!F222,"AAAAAE7dz9E=")</f>
        <v>#VALUE!</v>
      </c>
      <c r="HC88" t="e">
        <f>AND(Insects!G222,"AAAAAE7dz9I=")</f>
        <v>#VALUE!</v>
      </c>
      <c r="HD88" t="e">
        <f>AND(Insects!H222,"AAAAAE7dz9M=")</f>
        <v>#VALUE!</v>
      </c>
      <c r="HE88" t="e">
        <f>AND(Insects!I222,"AAAAAE7dz9Q=")</f>
        <v>#VALUE!</v>
      </c>
      <c r="HF88" t="e">
        <f>AND(Insects!J222,"AAAAAE7dz9U=")</f>
        <v>#VALUE!</v>
      </c>
      <c r="HG88" t="e">
        <f>AND(Insects!K222,"AAAAAE7dz9Y=")</f>
        <v>#VALUE!</v>
      </c>
      <c r="HH88" t="e">
        <f>AND(Insects!L222,"AAAAAE7dz9c=")</f>
        <v>#VALUE!</v>
      </c>
      <c r="HI88" t="e">
        <f>AND(Insects!M222,"AAAAAE7dz9g=")</f>
        <v>#VALUE!</v>
      </c>
      <c r="HJ88" t="e">
        <f>AND(Insects!N222,"AAAAAE7dz9k=")</f>
        <v>#VALUE!</v>
      </c>
      <c r="HK88" t="e">
        <f>AND(Insects!O222,"AAAAAE7dz9o=")</f>
        <v>#VALUE!</v>
      </c>
      <c r="HL88" t="e">
        <f>AND(Insects!P222,"AAAAAE7dz9s=")</f>
        <v>#VALUE!</v>
      </c>
      <c r="HM88">
        <f>IF(Insects!223:223,"AAAAAE7dz9w=",0)</f>
        <v>0</v>
      </c>
      <c r="HN88" t="e">
        <f>AND(Insects!A223,"AAAAAE7dz90=")</f>
        <v>#VALUE!</v>
      </c>
      <c r="HO88" t="e">
        <f>AND(Insects!B223,"AAAAAE7dz94=")</f>
        <v>#VALUE!</v>
      </c>
      <c r="HP88" t="e">
        <f>AND(Insects!C223,"AAAAAE7dz98=")</f>
        <v>#VALUE!</v>
      </c>
      <c r="HQ88" t="e">
        <f>AND(Insects!D223,"AAAAAE7dz+A=")</f>
        <v>#VALUE!</v>
      </c>
      <c r="HR88" t="e">
        <f>AND(Insects!E223,"AAAAAE7dz+E=")</f>
        <v>#VALUE!</v>
      </c>
      <c r="HS88" t="e">
        <f>AND(Insects!F223,"AAAAAE7dz+I=")</f>
        <v>#VALUE!</v>
      </c>
      <c r="HT88" t="e">
        <f>AND(Insects!G223,"AAAAAE7dz+M=")</f>
        <v>#VALUE!</v>
      </c>
      <c r="HU88" t="e">
        <f>AND(Insects!H223,"AAAAAE7dz+Q=")</f>
        <v>#VALUE!</v>
      </c>
      <c r="HV88" t="e">
        <f>AND(Insects!I223,"AAAAAE7dz+U=")</f>
        <v>#VALUE!</v>
      </c>
      <c r="HW88" t="e">
        <f>AND(Insects!J223,"AAAAAE7dz+Y=")</f>
        <v>#VALUE!</v>
      </c>
      <c r="HX88" t="e">
        <f>AND(Insects!K223,"AAAAAE7dz+c=")</f>
        <v>#VALUE!</v>
      </c>
      <c r="HY88" t="e">
        <f>AND(Insects!L223,"AAAAAE7dz+g=")</f>
        <v>#VALUE!</v>
      </c>
      <c r="HZ88" t="e">
        <f>AND(Insects!M223,"AAAAAE7dz+k=")</f>
        <v>#VALUE!</v>
      </c>
      <c r="IA88" t="e">
        <f>AND(Insects!N223,"AAAAAE7dz+o=")</f>
        <v>#VALUE!</v>
      </c>
      <c r="IB88" t="e">
        <f>AND(Insects!O223,"AAAAAE7dz+s=")</f>
        <v>#VALUE!</v>
      </c>
      <c r="IC88" t="e">
        <f>AND(Insects!P223,"AAAAAE7dz+w=")</f>
        <v>#VALUE!</v>
      </c>
      <c r="ID88">
        <f>IF(Insects!224:224,"AAAAAE7dz+0=",0)</f>
        <v>0</v>
      </c>
      <c r="IE88" t="e">
        <f>AND(Insects!A224,"AAAAAE7dz+4=")</f>
        <v>#VALUE!</v>
      </c>
      <c r="IF88" t="e">
        <f>AND(Insects!B224,"AAAAAE7dz+8=")</f>
        <v>#VALUE!</v>
      </c>
      <c r="IG88" t="e">
        <f>AND(Insects!C224,"AAAAAE7dz/A=")</f>
        <v>#VALUE!</v>
      </c>
      <c r="IH88" t="e">
        <f>AND(Insects!D224,"AAAAAE7dz/E=")</f>
        <v>#VALUE!</v>
      </c>
      <c r="II88" t="e">
        <f>AND(Insects!E224,"AAAAAE7dz/I=")</f>
        <v>#VALUE!</v>
      </c>
      <c r="IJ88" t="e">
        <f>AND(Insects!F224,"AAAAAE7dz/M=")</f>
        <v>#VALUE!</v>
      </c>
      <c r="IK88" t="e">
        <f>AND(Insects!G224,"AAAAAE7dz/Q=")</f>
        <v>#VALUE!</v>
      </c>
      <c r="IL88" t="e">
        <f>AND(Insects!H224,"AAAAAE7dz/U=")</f>
        <v>#VALUE!</v>
      </c>
      <c r="IM88" t="e">
        <f>AND(Insects!I224,"AAAAAE7dz/Y=")</f>
        <v>#VALUE!</v>
      </c>
      <c r="IN88" t="e">
        <f>AND(Insects!J224,"AAAAAE7dz/c=")</f>
        <v>#VALUE!</v>
      </c>
      <c r="IO88" t="e">
        <f>AND(Insects!K224,"AAAAAE7dz/g=")</f>
        <v>#VALUE!</v>
      </c>
      <c r="IP88" t="e">
        <f>AND(Insects!L224,"AAAAAE7dz/k=")</f>
        <v>#VALUE!</v>
      </c>
      <c r="IQ88" t="e">
        <f>AND(Insects!M224,"AAAAAE7dz/o=")</f>
        <v>#VALUE!</v>
      </c>
      <c r="IR88" t="e">
        <f>AND(Insects!N224,"AAAAAE7dz/s=")</f>
        <v>#VALUE!</v>
      </c>
      <c r="IS88" t="e">
        <f>AND(Insects!O224,"AAAAAE7dz/w=")</f>
        <v>#VALUE!</v>
      </c>
      <c r="IT88" t="e">
        <f>AND(Insects!P224,"AAAAAE7dz/0=")</f>
        <v>#VALUE!</v>
      </c>
      <c r="IU88">
        <f>IF(Insects!225:225,"AAAAAE7dz/4=",0)</f>
        <v>0</v>
      </c>
      <c r="IV88">
        <f>IF(Insects!226:226,"AAAAAE7dz/8=",0)</f>
        <v>0</v>
      </c>
    </row>
    <row r="89" spans="1:256">
      <c r="A89">
        <f>IF(Insects!227:227,"AAAAADdX/QA=",0)</f>
        <v>0</v>
      </c>
      <c r="B89">
        <f>IF(Insects!228:228,"AAAAADdX/QE=",0)</f>
        <v>0</v>
      </c>
      <c r="C89">
        <f>IF(Insects!229:229,"AAAAADdX/QI=",0)</f>
        <v>0</v>
      </c>
      <c r="D89">
        <f>IF(Insects!230:230,"AAAAADdX/QM=",0)</f>
        <v>0</v>
      </c>
      <c r="E89">
        <f>IF(Insects!231:231,"AAAAADdX/QQ=",0)</f>
        <v>0</v>
      </c>
      <c r="F89">
        <f>IF(Insects!232:232,"AAAAADdX/QU=",0)</f>
        <v>0</v>
      </c>
      <c r="G89">
        <f>IF(Insects!233:233,"AAAAADdX/QY=",0)</f>
        <v>0</v>
      </c>
      <c r="H89">
        <f>IF(Insects!234:234,"AAAAADdX/Qc=",0)</f>
        <v>0</v>
      </c>
      <c r="I89">
        <f>IF(Insects!235:235,"AAAAADdX/Qg=",0)</f>
        <v>0</v>
      </c>
      <c r="J89">
        <f>IF(Insects!236:236,"AAAAADdX/Qk=",0)</f>
        <v>0</v>
      </c>
      <c r="K89">
        <f>IF(Insects!237:237,"AAAAADdX/Qo=",0)</f>
        <v>0</v>
      </c>
      <c r="L89">
        <f>IF(Insects!238:238,"AAAAADdX/Qs=",0)</f>
        <v>0</v>
      </c>
      <c r="M89">
        <f>IF(Insects!239:239,"AAAAADdX/Qw=",0)</f>
        <v>0</v>
      </c>
      <c r="N89">
        <f>IF(Insects!240:240,"AAAAADdX/Q0=",0)</f>
        <v>0</v>
      </c>
      <c r="O89">
        <f>IF(Insects!241:241,"AAAAADdX/Q4=",0)</f>
        <v>0</v>
      </c>
      <c r="P89">
        <f>IF(Insects!242:242,"AAAAADdX/Q8=",0)</f>
        <v>0</v>
      </c>
      <c r="Q89">
        <f>IF(Insects!243:243,"AAAAADdX/RA=",0)</f>
        <v>0</v>
      </c>
      <c r="R89">
        <f>IF(Insects!244:244,"AAAAADdX/RE=",0)</f>
        <v>0</v>
      </c>
      <c r="S89">
        <f>IF(Insects!245:245,"AAAAADdX/RI=",0)</f>
        <v>0</v>
      </c>
      <c r="T89">
        <f>IF(Insects!246:246,"AAAAADdX/RM=",0)</f>
        <v>0</v>
      </c>
      <c r="U89">
        <f>IF(Insects!247:247,"AAAAADdX/RQ=",0)</f>
        <v>0</v>
      </c>
      <c r="V89">
        <f>IF(Insects!248:248,"AAAAADdX/RU=",0)</f>
        <v>0</v>
      </c>
      <c r="W89">
        <f>IF(Insects!249:249,"AAAAADdX/RY=",0)</f>
        <v>0</v>
      </c>
      <c r="X89">
        <f>IF(Insects!250:250,"AAAAADdX/Rc=",0)</f>
        <v>0</v>
      </c>
      <c r="Y89">
        <f>IF(Insects!251:251,"AAAAADdX/Rg=",0)</f>
        <v>0</v>
      </c>
      <c r="Z89">
        <f>IF(Insects!252:252,"AAAAADdX/Rk=",0)</f>
        <v>0</v>
      </c>
      <c r="AA89">
        <f>IF(Insects!253:253,"AAAAADdX/Ro=",0)</f>
        <v>0</v>
      </c>
      <c r="AB89">
        <f>IF(Insects!254:254,"AAAAADdX/Rs=",0)</f>
        <v>0</v>
      </c>
      <c r="AC89">
        <f>IF(Insects!255:255,"AAAAADdX/Rw=",0)</f>
        <v>0</v>
      </c>
      <c r="AD89">
        <f>IF(Insects!256:256,"AAAAADdX/R0=",0)</f>
        <v>0</v>
      </c>
      <c r="AE89">
        <f>IF(Insects!257:257,"AAAAADdX/R4=",0)</f>
        <v>0</v>
      </c>
      <c r="AF89">
        <f>IF(Insects!258:258,"AAAAADdX/R8=",0)</f>
        <v>0</v>
      </c>
      <c r="AG89">
        <f>IF(Insects!259:259,"AAAAADdX/SA=",0)</f>
        <v>0</v>
      </c>
      <c r="AH89">
        <f>IF(Insects!260:260,"AAAAADdX/SE=",0)</f>
        <v>0</v>
      </c>
      <c r="AI89">
        <f>IF(Insects!261:261,"AAAAADdX/SI=",0)</f>
        <v>0</v>
      </c>
      <c r="AJ89">
        <f>IF(Insects!262:262,"AAAAADdX/SM=",0)</f>
        <v>0</v>
      </c>
      <c r="AK89">
        <f>IF(Insects!263:263,"AAAAADdX/SQ=",0)</f>
        <v>0</v>
      </c>
      <c r="AL89">
        <f>IF(Insects!264:264,"AAAAADdX/SU=",0)</f>
        <v>0</v>
      </c>
      <c r="AM89">
        <f>IF(Insects!265:265,"AAAAADdX/SY=",0)</f>
        <v>0</v>
      </c>
      <c r="AN89">
        <f>IF(Insects!266:266,"AAAAADdX/Sc=",0)</f>
        <v>0</v>
      </c>
      <c r="AO89">
        <f>IF(Insects!267:267,"AAAAADdX/Sg=",0)</f>
        <v>0</v>
      </c>
      <c r="AP89">
        <f>IF(Insects!268:268,"AAAAADdX/Sk=",0)</f>
        <v>0</v>
      </c>
      <c r="AQ89">
        <f>IF(Insects!269:269,"AAAAADdX/So=",0)</f>
        <v>0</v>
      </c>
      <c r="AR89">
        <f>IF(Insects!270:270,"AAAAADdX/Ss=",0)</f>
        <v>0</v>
      </c>
      <c r="AS89">
        <f>IF(Insects!271:271,"AAAAADdX/Sw=",0)</f>
        <v>0</v>
      </c>
      <c r="AT89">
        <f>IF(Insects!272:272,"AAAAADdX/S0=",0)</f>
        <v>0</v>
      </c>
      <c r="AU89">
        <f>IF(Insects!273:273,"AAAAADdX/S4=",0)</f>
        <v>0</v>
      </c>
      <c r="AV89">
        <f>IF(Insects!274:274,"AAAAADdX/S8=",0)</f>
        <v>0</v>
      </c>
      <c r="AW89">
        <f>IF(Insects!275:275,"AAAAADdX/TA=",0)</f>
        <v>0</v>
      </c>
      <c r="AX89">
        <f>IF(Insects!276:276,"AAAAADdX/TE=",0)</f>
        <v>0</v>
      </c>
      <c r="AY89">
        <f>IF(Insects!277:277,"AAAAADdX/TI=",0)</f>
        <v>0</v>
      </c>
      <c r="AZ89">
        <f>IF(Insects!278:278,"AAAAADdX/TM=",0)</f>
        <v>0</v>
      </c>
      <c r="BA89">
        <f>IF(Insects!279:279,"AAAAADdX/TQ=",0)</f>
        <v>0</v>
      </c>
      <c r="BB89">
        <f>IF(Insects!280:280,"AAAAADdX/TU=",0)</f>
        <v>0</v>
      </c>
      <c r="BC89">
        <f>IF(Insects!281:281,"AAAAADdX/TY=",0)</f>
        <v>0</v>
      </c>
      <c r="BD89">
        <f>IF(Insects!282:282,"AAAAADdX/Tc=",0)</f>
        <v>0</v>
      </c>
      <c r="BE89" t="str">
        <f>IF(Insects!A:A,"AAAAADdX/Tg=",0)</f>
        <v>AAAAADdX/Tg=</v>
      </c>
      <c r="BF89" t="e">
        <f>IF(Insects!B:B,"AAAAADdX/Tk=",0)</f>
        <v>#VALUE!</v>
      </c>
      <c r="BG89" t="e">
        <f>IF(Insects!C:C,"AAAAADdX/To=",0)</f>
        <v>#VALUE!</v>
      </c>
      <c r="BH89">
        <f>IF(Insects!D:D,"AAAAADdX/Ts=",0)</f>
        <v>0</v>
      </c>
      <c r="BI89">
        <f>IF(Insects!E:E,"AAAAADdX/Tw=",0)</f>
        <v>0</v>
      </c>
      <c r="BJ89">
        <f>IF(Insects!F:F,"AAAAADdX/T0=",0)</f>
        <v>0</v>
      </c>
      <c r="BK89" t="e">
        <f>IF(Insects!G:G,"AAAAADdX/T4=",0)</f>
        <v>#VALUE!</v>
      </c>
      <c r="BL89" t="e">
        <f>IF(Insects!H:H,"AAAAADdX/T8=",0)</f>
        <v>#VALUE!</v>
      </c>
      <c r="BM89">
        <f>IF(Insects!I:I,"AAAAADdX/UA=",0)</f>
        <v>0</v>
      </c>
      <c r="BN89">
        <f>IF(Insects!J:J,"AAAAADdX/UE=",0)</f>
        <v>0</v>
      </c>
      <c r="BO89">
        <f>IF(Insects!K:K,"AAAAADdX/UI=",0)</f>
        <v>0</v>
      </c>
      <c r="BP89">
        <f>IF(Insects!L:L,"AAAAADdX/UM=",0)</f>
        <v>0</v>
      </c>
      <c r="BQ89">
        <f>IF(Insects!M:M,"AAAAADdX/UQ=",0)</f>
        <v>0</v>
      </c>
      <c r="BR89">
        <f>IF(Insects!N:N,"AAAAADdX/UU=",0)</f>
        <v>0</v>
      </c>
      <c r="BS89">
        <f>IF(Insects!O:O,"AAAAADdX/UY=",0)</f>
        <v>0</v>
      </c>
      <c r="BT89">
        <f>IF(Insects!P:P,"AAAAADdX/Uc=",0)</f>
        <v>0</v>
      </c>
      <c r="BU89" t="s">
        <v>1564</v>
      </c>
      <c r="BV89" s="164" t="s">
        <v>1565</v>
      </c>
    </row>
  </sheetData>
  <sheetCalcPr fullCalcOnLoa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5"/>
  <sheetViews>
    <sheetView workbookViewId="0">
      <selection activeCell="C28" sqref="C28"/>
    </sheetView>
  </sheetViews>
  <sheetFormatPr defaultColWidth="12.7109375" defaultRowHeight="12.75"/>
  <cols>
    <col min="1" max="1" width="3.28515625" customWidth="1"/>
    <col min="2" max="2" width="21.7109375" customWidth="1"/>
    <col min="4" max="4" width="13.7109375" customWidth="1"/>
    <col min="5" max="5" width="14.140625" customWidth="1"/>
    <col min="6" max="6" width="17.28515625" customWidth="1"/>
    <col min="8" max="8" width="10.28515625" customWidth="1"/>
    <col min="9" max="9" width="10.7109375" customWidth="1"/>
    <col min="10" max="10" width="9.7109375" customWidth="1"/>
    <col min="11" max="11" width="11.85546875" style="78" customWidth="1"/>
    <col min="12" max="12" width="7.28515625" customWidth="1"/>
    <col min="13" max="13" width="8.7109375" customWidth="1"/>
    <col min="14" max="14" width="10" customWidth="1"/>
    <col min="15" max="15" width="6.140625" customWidth="1"/>
  </cols>
  <sheetData>
    <row r="1" spans="1:11" ht="12.6" customHeight="1" thickBot="1">
      <c r="B1" s="103" t="s">
        <v>86</v>
      </c>
      <c r="C1" s="104"/>
      <c r="D1" s="105"/>
      <c r="E1" s="104"/>
      <c r="F1" s="104"/>
      <c r="G1" s="104"/>
      <c r="H1" s="104"/>
      <c r="I1" s="104"/>
      <c r="J1" s="106"/>
      <c r="K1" s="112"/>
    </row>
    <row r="2" spans="1:11" ht="60" customHeight="1" thickBot="1">
      <c r="A2" s="1" t="s">
        <v>122</v>
      </c>
      <c r="B2" s="133" t="s">
        <v>6</v>
      </c>
      <c r="C2" s="133" t="s">
        <v>7</v>
      </c>
      <c r="D2" s="133" t="s">
        <v>0</v>
      </c>
      <c r="E2" s="133" t="s">
        <v>1</v>
      </c>
      <c r="F2" s="133" t="s">
        <v>2</v>
      </c>
      <c r="G2" s="133" t="s">
        <v>3</v>
      </c>
      <c r="H2" s="133" t="s">
        <v>4</v>
      </c>
      <c r="I2" s="134" t="s">
        <v>21</v>
      </c>
      <c r="J2" s="135" t="s">
        <v>87</v>
      </c>
      <c r="K2" s="135" t="s">
        <v>88</v>
      </c>
    </row>
    <row r="3" spans="1:11">
      <c r="A3">
        <v>1</v>
      </c>
      <c r="B3" s="104" t="s">
        <v>14</v>
      </c>
      <c r="C3" s="128" t="s">
        <v>48</v>
      </c>
      <c r="D3" s="129" t="s">
        <v>49</v>
      </c>
      <c r="E3" s="104" t="s">
        <v>50</v>
      </c>
      <c r="F3" s="107" t="s">
        <v>51</v>
      </c>
      <c r="G3" s="104" t="s">
        <v>24</v>
      </c>
      <c r="H3" s="104" t="s">
        <v>5</v>
      </c>
      <c r="I3" s="63" t="s">
        <v>25</v>
      </c>
      <c r="J3" s="106" t="s">
        <v>89</v>
      </c>
      <c r="K3" s="112"/>
    </row>
    <row r="4" spans="1:11">
      <c r="A4">
        <v>2</v>
      </c>
      <c r="B4" s="104" t="s">
        <v>15</v>
      </c>
      <c r="C4" s="128" t="s">
        <v>52</v>
      </c>
      <c r="D4" s="129" t="s">
        <v>53</v>
      </c>
      <c r="E4" s="104" t="s">
        <v>50</v>
      </c>
      <c r="F4" s="107" t="s">
        <v>51</v>
      </c>
      <c r="G4" s="104" t="s">
        <v>24</v>
      </c>
      <c r="H4" s="104" t="s">
        <v>5</v>
      </c>
      <c r="I4" s="104" t="s">
        <v>31</v>
      </c>
      <c r="J4" s="106" t="s">
        <v>89</v>
      </c>
      <c r="K4" s="112"/>
    </row>
    <row r="5" spans="1:11">
      <c r="A5">
        <v>3</v>
      </c>
      <c r="B5" s="104" t="s">
        <v>54</v>
      </c>
      <c r="C5" s="128" t="s">
        <v>55</v>
      </c>
      <c r="D5" s="129" t="s">
        <v>56</v>
      </c>
      <c r="E5" s="104" t="s">
        <v>50</v>
      </c>
      <c r="F5" s="107" t="s">
        <v>51</v>
      </c>
      <c r="G5" s="104" t="s">
        <v>24</v>
      </c>
      <c r="H5" s="104" t="s">
        <v>5</v>
      </c>
      <c r="I5" s="104" t="s">
        <v>31</v>
      </c>
      <c r="J5" s="106" t="s">
        <v>89</v>
      </c>
      <c r="K5" s="112" t="s">
        <v>89</v>
      </c>
    </row>
    <row r="6" spans="1:11">
      <c r="A6">
        <v>4</v>
      </c>
      <c r="B6" s="108" t="s">
        <v>90</v>
      </c>
      <c r="C6" s="131" t="s">
        <v>91</v>
      </c>
      <c r="D6" s="132" t="s">
        <v>92</v>
      </c>
      <c r="E6" s="104" t="s">
        <v>50</v>
      </c>
      <c r="F6" s="107" t="s">
        <v>51</v>
      </c>
      <c r="G6" s="104" t="s">
        <v>24</v>
      </c>
      <c r="H6" s="104" t="s">
        <v>5</v>
      </c>
      <c r="I6" s="104" t="s">
        <v>31</v>
      </c>
      <c r="J6" s="106" t="s">
        <v>89</v>
      </c>
      <c r="K6" s="113"/>
    </row>
    <row r="7" spans="1:11">
      <c r="A7">
        <v>5</v>
      </c>
      <c r="B7" s="108" t="s">
        <v>93</v>
      </c>
      <c r="C7" s="131" t="s">
        <v>94</v>
      </c>
      <c r="D7" s="132" t="s">
        <v>95</v>
      </c>
      <c r="E7" s="104" t="s">
        <v>50</v>
      </c>
      <c r="F7" s="107" t="s">
        <v>51</v>
      </c>
      <c r="G7" s="104" t="s">
        <v>24</v>
      </c>
      <c r="H7" s="104" t="s">
        <v>5</v>
      </c>
      <c r="I7" s="104" t="s">
        <v>31</v>
      </c>
      <c r="J7" s="106" t="s">
        <v>89</v>
      </c>
      <c r="K7" s="113"/>
    </row>
    <row r="8" spans="1:11">
      <c r="A8">
        <v>6</v>
      </c>
      <c r="B8" s="108" t="s">
        <v>96</v>
      </c>
      <c r="C8" s="131" t="s">
        <v>97</v>
      </c>
      <c r="D8" s="132" t="s">
        <v>98</v>
      </c>
      <c r="E8" s="104" t="s">
        <v>50</v>
      </c>
      <c r="F8" s="107" t="s">
        <v>51</v>
      </c>
      <c r="G8" s="104" t="s">
        <v>24</v>
      </c>
      <c r="H8" s="104" t="s">
        <v>5</v>
      </c>
      <c r="I8" s="104" t="s">
        <v>31</v>
      </c>
      <c r="J8" s="106" t="s">
        <v>89</v>
      </c>
      <c r="K8" s="113"/>
    </row>
    <row r="9" spans="1:11">
      <c r="A9">
        <v>7</v>
      </c>
      <c r="B9" s="108" t="s">
        <v>99</v>
      </c>
      <c r="C9" s="131" t="s">
        <v>100</v>
      </c>
      <c r="D9" s="132" t="s">
        <v>101</v>
      </c>
      <c r="E9" s="104" t="s">
        <v>50</v>
      </c>
      <c r="F9" s="107" t="s">
        <v>51</v>
      </c>
      <c r="G9" s="104" t="s">
        <v>24</v>
      </c>
      <c r="H9" s="104" t="s">
        <v>5</v>
      </c>
      <c r="I9" s="104" t="s">
        <v>31</v>
      </c>
      <c r="J9" s="106" t="s">
        <v>89</v>
      </c>
      <c r="K9" s="113"/>
    </row>
    <row r="10" spans="1:11">
      <c r="A10">
        <v>8</v>
      </c>
      <c r="B10" s="108" t="s">
        <v>102</v>
      </c>
      <c r="C10" s="131" t="s">
        <v>100</v>
      </c>
      <c r="D10" s="132" t="s">
        <v>103</v>
      </c>
      <c r="E10" s="104" t="s">
        <v>50</v>
      </c>
      <c r="F10" s="107" t="s">
        <v>51</v>
      </c>
      <c r="G10" s="104" t="s">
        <v>24</v>
      </c>
      <c r="H10" s="104" t="s">
        <v>5</v>
      </c>
      <c r="I10" s="104" t="s">
        <v>31</v>
      </c>
      <c r="J10" s="106" t="s">
        <v>89</v>
      </c>
      <c r="K10" s="113" t="s">
        <v>89</v>
      </c>
    </row>
    <row r="11" spans="1:11">
      <c r="A11">
        <v>9</v>
      </c>
      <c r="B11" s="104" t="s">
        <v>57</v>
      </c>
      <c r="C11" s="128" t="s">
        <v>58</v>
      </c>
      <c r="D11" s="129" t="s">
        <v>59</v>
      </c>
      <c r="E11" s="104" t="s">
        <v>60</v>
      </c>
      <c r="F11" s="107" t="s">
        <v>51</v>
      </c>
      <c r="G11" s="104" t="s">
        <v>24</v>
      </c>
      <c r="H11" s="104" t="s">
        <v>5</v>
      </c>
      <c r="I11" s="104" t="s">
        <v>31</v>
      </c>
      <c r="J11" s="106" t="s">
        <v>89</v>
      </c>
      <c r="K11" s="112" t="s">
        <v>89</v>
      </c>
    </row>
    <row r="12" spans="1:11">
      <c r="A12">
        <v>10</v>
      </c>
      <c r="B12" s="108" t="s">
        <v>12</v>
      </c>
      <c r="C12" s="10" t="s">
        <v>61</v>
      </c>
      <c r="D12" s="10" t="s">
        <v>62</v>
      </c>
      <c r="E12" s="63" t="s">
        <v>104</v>
      </c>
      <c r="F12" s="63" t="s">
        <v>63</v>
      </c>
      <c r="G12" s="104" t="s">
        <v>24</v>
      </c>
      <c r="H12" s="104" t="s">
        <v>5</v>
      </c>
      <c r="I12" s="104" t="s">
        <v>31</v>
      </c>
      <c r="J12" s="106" t="s">
        <v>89</v>
      </c>
      <c r="K12" s="113"/>
    </row>
    <row r="13" spans="1:11">
      <c r="A13">
        <v>11</v>
      </c>
      <c r="B13" s="108" t="s">
        <v>105</v>
      </c>
      <c r="C13" s="131" t="s">
        <v>106</v>
      </c>
      <c r="D13" s="132" t="s">
        <v>107</v>
      </c>
      <c r="E13" s="108" t="s">
        <v>108</v>
      </c>
      <c r="F13" s="63" t="s">
        <v>63</v>
      </c>
      <c r="G13" s="104" t="s">
        <v>24</v>
      </c>
      <c r="H13" s="104" t="s">
        <v>5</v>
      </c>
      <c r="I13" s="63" t="s">
        <v>25</v>
      </c>
      <c r="J13" s="106" t="s">
        <v>89</v>
      </c>
      <c r="K13" s="113" t="s">
        <v>89</v>
      </c>
    </row>
    <row r="14" spans="1:11" ht="12.75" customHeight="1">
      <c r="A14">
        <v>12</v>
      </c>
      <c r="B14" s="104" t="s">
        <v>109</v>
      </c>
      <c r="C14" s="128" t="s">
        <v>110</v>
      </c>
      <c r="D14" s="129" t="s">
        <v>111</v>
      </c>
      <c r="E14" s="104" t="s">
        <v>112</v>
      </c>
      <c r="F14" s="63" t="s">
        <v>113</v>
      </c>
      <c r="G14" s="104" t="s">
        <v>24</v>
      </c>
      <c r="H14" s="104" t="s">
        <v>5</v>
      </c>
      <c r="I14" s="104" t="s">
        <v>31</v>
      </c>
      <c r="J14" s="106" t="s">
        <v>89</v>
      </c>
      <c r="K14" s="112"/>
    </row>
    <row r="15" spans="1:11">
      <c r="A15">
        <v>13</v>
      </c>
      <c r="B15" s="108" t="s">
        <v>38</v>
      </c>
      <c r="C15" s="11" t="s">
        <v>39</v>
      </c>
      <c r="D15" s="11" t="s">
        <v>20</v>
      </c>
      <c r="E15" s="109" t="s">
        <v>40</v>
      </c>
      <c r="F15" s="63" t="s">
        <v>23</v>
      </c>
      <c r="G15" s="104" t="s">
        <v>24</v>
      </c>
      <c r="H15" s="104" t="s">
        <v>5</v>
      </c>
      <c r="I15" s="104" t="s">
        <v>31</v>
      </c>
      <c r="J15" s="106" t="s">
        <v>89</v>
      </c>
      <c r="K15" s="113"/>
    </row>
    <row r="16" spans="1:11">
      <c r="A16">
        <v>14</v>
      </c>
      <c r="B16" s="108" t="s">
        <v>42</v>
      </c>
      <c r="C16" s="10" t="s">
        <v>43</v>
      </c>
      <c r="D16" s="10" t="s">
        <v>44</v>
      </c>
      <c r="E16" s="63" t="s">
        <v>41</v>
      </c>
      <c r="F16" s="63" t="s">
        <v>23</v>
      </c>
      <c r="G16" s="104" t="s">
        <v>24</v>
      </c>
      <c r="H16" s="104" t="s">
        <v>5</v>
      </c>
      <c r="I16" s="104" t="s">
        <v>31</v>
      </c>
      <c r="J16" s="106" t="s">
        <v>89</v>
      </c>
      <c r="K16" s="113" t="s">
        <v>89</v>
      </c>
    </row>
    <row r="17" spans="1:11">
      <c r="A17">
        <v>15</v>
      </c>
      <c r="B17" s="104" t="s">
        <v>26</v>
      </c>
      <c r="C17" s="128" t="s">
        <v>27</v>
      </c>
      <c r="D17" s="129" t="s">
        <v>28</v>
      </c>
      <c r="E17" s="104" t="s">
        <v>22</v>
      </c>
      <c r="F17" s="63" t="s">
        <v>23</v>
      </c>
      <c r="G17" s="104" t="s">
        <v>24</v>
      </c>
      <c r="H17" s="104" t="s">
        <v>5</v>
      </c>
      <c r="I17" s="63" t="s">
        <v>25</v>
      </c>
      <c r="J17" s="106" t="s">
        <v>89</v>
      </c>
      <c r="K17" s="112"/>
    </row>
    <row r="18" spans="1:11">
      <c r="A18">
        <v>16</v>
      </c>
      <c r="B18" s="104" t="s">
        <v>29</v>
      </c>
      <c r="C18" s="128" t="s">
        <v>27</v>
      </c>
      <c r="D18" s="129" t="s">
        <v>30</v>
      </c>
      <c r="E18" s="104" t="s">
        <v>22</v>
      </c>
      <c r="F18" s="63" t="s">
        <v>23</v>
      </c>
      <c r="G18" s="104" t="s">
        <v>24</v>
      </c>
      <c r="H18" s="104" t="s">
        <v>5</v>
      </c>
      <c r="I18" s="104" t="s">
        <v>31</v>
      </c>
      <c r="J18" s="106" t="s">
        <v>89</v>
      </c>
      <c r="K18" s="112"/>
    </row>
    <row r="19" spans="1:11">
      <c r="A19">
        <v>17</v>
      </c>
      <c r="B19" s="104" t="s">
        <v>32</v>
      </c>
      <c r="C19" s="128" t="s">
        <v>27</v>
      </c>
      <c r="D19" s="129" t="s">
        <v>33</v>
      </c>
      <c r="E19" s="104" t="s">
        <v>22</v>
      </c>
      <c r="F19" s="63" t="s">
        <v>23</v>
      </c>
      <c r="G19" s="104" t="s">
        <v>24</v>
      </c>
      <c r="H19" s="104" t="s">
        <v>5</v>
      </c>
      <c r="I19" s="104" t="s">
        <v>31</v>
      </c>
      <c r="J19" s="106" t="s">
        <v>89</v>
      </c>
      <c r="K19" s="112" t="s">
        <v>89</v>
      </c>
    </row>
    <row r="20" spans="1:11">
      <c r="A20">
        <v>18</v>
      </c>
      <c r="B20" s="104" t="s">
        <v>34</v>
      </c>
      <c r="C20" s="128" t="s">
        <v>27</v>
      </c>
      <c r="D20" s="129" t="s">
        <v>35</v>
      </c>
      <c r="E20" s="104" t="s">
        <v>22</v>
      </c>
      <c r="F20" s="63" t="s">
        <v>23</v>
      </c>
      <c r="G20" s="104" t="s">
        <v>24</v>
      </c>
      <c r="H20" s="104" t="s">
        <v>5</v>
      </c>
      <c r="I20" s="63" t="s">
        <v>25</v>
      </c>
      <c r="J20" s="106" t="s">
        <v>89</v>
      </c>
      <c r="K20" s="112"/>
    </row>
    <row r="21" spans="1:11" ht="12.75" customHeight="1">
      <c r="A21">
        <v>19</v>
      </c>
      <c r="B21" s="104" t="s">
        <v>13</v>
      </c>
      <c r="C21" s="128" t="s">
        <v>36</v>
      </c>
      <c r="D21" s="129" t="s">
        <v>37</v>
      </c>
      <c r="E21" s="104" t="s">
        <v>22</v>
      </c>
      <c r="F21" s="63" t="s">
        <v>23</v>
      </c>
      <c r="G21" s="104" t="s">
        <v>24</v>
      </c>
      <c r="H21" s="104" t="s">
        <v>5</v>
      </c>
      <c r="I21" s="63" t="s">
        <v>25</v>
      </c>
      <c r="J21" s="106" t="s">
        <v>89</v>
      </c>
      <c r="K21" s="112"/>
    </row>
    <row r="22" spans="1:11" ht="12.75" customHeight="1">
      <c r="A22">
        <v>20</v>
      </c>
      <c r="B22" s="104" t="s">
        <v>114</v>
      </c>
      <c r="C22" s="128" t="s">
        <v>115</v>
      </c>
      <c r="D22" s="129" t="s">
        <v>116</v>
      </c>
      <c r="E22" s="104" t="s">
        <v>117</v>
      </c>
      <c r="F22" s="63" t="s">
        <v>118</v>
      </c>
      <c r="G22" s="104" t="s">
        <v>24</v>
      </c>
      <c r="H22" s="104" t="s">
        <v>5</v>
      </c>
      <c r="I22" s="63" t="s">
        <v>25</v>
      </c>
      <c r="J22" s="106" t="s">
        <v>89</v>
      </c>
      <c r="K22" s="112"/>
    </row>
    <row r="23" spans="1:11" ht="12.75" customHeight="1">
      <c r="A23">
        <v>21</v>
      </c>
      <c r="B23" s="104" t="s">
        <v>119</v>
      </c>
      <c r="C23" s="128" t="s">
        <v>45</v>
      </c>
      <c r="D23" s="129" t="s">
        <v>120</v>
      </c>
      <c r="E23" s="104" t="s">
        <v>46</v>
      </c>
      <c r="F23" s="104" t="s">
        <v>47</v>
      </c>
      <c r="G23" s="104" t="s">
        <v>24</v>
      </c>
      <c r="H23" s="104" t="s">
        <v>5</v>
      </c>
      <c r="I23" s="104" t="s">
        <v>31</v>
      </c>
      <c r="J23" s="106" t="s">
        <v>89</v>
      </c>
      <c r="K23" s="112"/>
    </row>
    <row r="24" spans="1:11">
      <c r="J24" s="110"/>
      <c r="K24" s="114"/>
    </row>
    <row r="25" spans="1:11">
      <c r="B25" s="111" t="s">
        <v>121</v>
      </c>
      <c r="J25" s="110"/>
      <c r="K25" s="114"/>
    </row>
  </sheetData>
  <phoneticPr fontId="2" type="noConversion"/>
  <pageMargins left="0.75" right="0.75" top="1" bottom="1" header="0.5" footer="0.5"/>
  <pageSetup paperSize="5" orientation="landscape" r:id="rId1"/>
  <headerFooter alignWithMargins="0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B1" workbookViewId="0">
      <selection activeCell="H26" sqref="H26"/>
    </sheetView>
  </sheetViews>
  <sheetFormatPr defaultRowHeight="12.75"/>
  <sheetData/>
  <phoneticPr fontId="2" type="noConversion"/>
  <pageMargins left="0.75" right="0.75" top="1" bottom="1" header="0.5" footer="0.5"/>
  <headerFooter alignWithMargins="0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21"/>
  <sheetViews>
    <sheetView workbookViewId="0">
      <selection activeCell="B13" sqref="B13"/>
    </sheetView>
  </sheetViews>
  <sheetFormatPr defaultColWidth="12.7109375" defaultRowHeight="12.75"/>
  <cols>
    <col min="1" max="1" width="6.28515625" customWidth="1"/>
    <col min="2" max="2" width="16.85546875" style="78" customWidth="1"/>
    <col min="3" max="3" width="18.140625" customWidth="1"/>
    <col min="4" max="4" width="17.28515625" customWidth="1"/>
    <col min="5" max="5" width="19.42578125" customWidth="1"/>
    <col min="6" max="6" width="19.7109375" customWidth="1"/>
    <col min="7" max="7" width="18.5703125" customWidth="1"/>
    <col min="8" max="8" width="15.7109375" customWidth="1"/>
    <col min="9" max="12" width="8.28515625" customWidth="1"/>
    <col min="13" max="13" width="7.7109375" customWidth="1"/>
    <col min="14" max="21" width="8.7109375" customWidth="1"/>
    <col min="22" max="22" width="8.42578125" customWidth="1"/>
  </cols>
  <sheetData>
    <row r="1" spans="1:28" s="18" customFormat="1">
      <c r="B1" s="13"/>
      <c r="C1" s="14"/>
      <c r="D1" s="149" t="s">
        <v>66</v>
      </c>
      <c r="E1" s="150"/>
      <c r="F1" s="150"/>
      <c r="G1" s="150"/>
      <c r="H1" s="15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8" s="18" customFormat="1" ht="13.5" thickBot="1">
      <c r="B2" s="19" t="s">
        <v>9</v>
      </c>
      <c r="C2" s="14"/>
      <c r="D2" s="15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8" s="18" customFormat="1" ht="23.45" customHeight="1" thickBot="1">
      <c r="A3" s="1" t="s">
        <v>122</v>
      </c>
      <c r="B3" s="20" t="s">
        <v>6</v>
      </c>
      <c r="C3" s="21" t="s">
        <v>7</v>
      </c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2" t="s">
        <v>67</v>
      </c>
      <c r="J3" s="23" t="s">
        <v>68</v>
      </c>
      <c r="K3" s="23" t="s">
        <v>69</v>
      </c>
      <c r="L3" s="23" t="s">
        <v>70</v>
      </c>
      <c r="M3" s="24" t="s">
        <v>71</v>
      </c>
      <c r="N3" s="24" t="s">
        <v>72</v>
      </c>
      <c r="O3" s="80" t="s">
        <v>73</v>
      </c>
      <c r="P3" s="80" t="s">
        <v>74</v>
      </c>
      <c r="Q3" s="80" t="s">
        <v>75</v>
      </c>
      <c r="R3" s="80" t="s">
        <v>76</v>
      </c>
      <c r="S3" s="80" t="s">
        <v>77</v>
      </c>
      <c r="T3" s="80" t="s">
        <v>78</v>
      </c>
      <c r="U3" s="80" t="s">
        <v>79</v>
      </c>
      <c r="V3" s="25" t="s">
        <v>8</v>
      </c>
      <c r="W3" s="26"/>
      <c r="X3" s="27"/>
      <c r="Y3" s="27"/>
      <c r="Z3" s="27"/>
      <c r="AA3" s="27"/>
      <c r="AB3" s="27"/>
    </row>
    <row r="4" spans="1:28" s="121" customFormat="1" ht="25.15" customHeight="1">
      <c r="A4" s="121">
        <v>1</v>
      </c>
      <c r="B4" s="115" t="s">
        <v>129</v>
      </c>
      <c r="C4" s="117" t="s">
        <v>523</v>
      </c>
      <c r="D4" s="117" t="s">
        <v>130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18"/>
      <c r="W4" s="119"/>
      <c r="X4" s="120"/>
      <c r="Y4" s="120"/>
      <c r="Z4" s="120"/>
      <c r="AA4" s="120"/>
      <c r="AB4" s="120"/>
    </row>
    <row r="5" spans="1:28" s="33" customFormat="1">
      <c r="A5" s="33">
        <v>2</v>
      </c>
      <c r="B5" s="115" t="s">
        <v>123</v>
      </c>
      <c r="C5" s="11" t="s">
        <v>131</v>
      </c>
      <c r="D5" s="117" t="s">
        <v>132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2"/>
      <c r="X5" s="32"/>
      <c r="Y5" s="32"/>
      <c r="Z5" s="32"/>
      <c r="AA5" s="32"/>
      <c r="AB5" s="32"/>
    </row>
    <row r="6" spans="1:28" s="33" customFormat="1">
      <c r="A6" s="33">
        <v>3</v>
      </c>
      <c r="B6" s="115" t="s">
        <v>124</v>
      </c>
      <c r="C6" s="11" t="s">
        <v>133</v>
      </c>
      <c r="D6" s="117" t="s">
        <v>134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  <c r="W6" s="32"/>
      <c r="X6" s="32"/>
      <c r="Y6" s="32"/>
      <c r="Z6" s="32"/>
      <c r="AA6" s="32"/>
      <c r="AB6" s="32"/>
    </row>
    <row r="7" spans="1:28" s="33" customFormat="1">
      <c r="A7" s="62">
        <v>4</v>
      </c>
      <c r="B7" s="115" t="s">
        <v>125</v>
      </c>
      <c r="C7" s="11" t="s">
        <v>135</v>
      </c>
      <c r="D7" s="117" t="s">
        <v>136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2"/>
      <c r="X7" s="32"/>
      <c r="Y7" s="32"/>
      <c r="Z7" s="32"/>
      <c r="AA7" s="32"/>
      <c r="AB7" s="32"/>
    </row>
    <row r="8" spans="1:28" s="33" customFormat="1">
      <c r="A8" s="62">
        <v>5</v>
      </c>
      <c r="B8" s="115" t="s">
        <v>126</v>
      </c>
      <c r="C8" s="11" t="s">
        <v>137</v>
      </c>
      <c r="D8" s="117" t="s">
        <v>138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2"/>
      <c r="X8" s="32"/>
      <c r="Y8" s="32"/>
      <c r="Z8" s="32"/>
      <c r="AA8" s="32"/>
      <c r="AB8" s="32"/>
    </row>
    <row r="9" spans="1:28" s="33" customFormat="1">
      <c r="A9" s="62">
        <v>6</v>
      </c>
      <c r="B9" s="116" t="s">
        <v>127</v>
      </c>
      <c r="C9" s="11" t="s">
        <v>139</v>
      </c>
      <c r="D9" s="117" t="s">
        <v>140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2"/>
      <c r="X9" s="32"/>
      <c r="Y9" s="32"/>
      <c r="Z9" s="32"/>
      <c r="AA9" s="32"/>
      <c r="AB9" s="32"/>
    </row>
    <row r="10" spans="1:28" s="33" customFormat="1">
      <c r="A10" s="62">
        <v>7</v>
      </c>
      <c r="B10" s="115" t="s">
        <v>128</v>
      </c>
      <c r="C10" s="11" t="s">
        <v>141</v>
      </c>
      <c r="D10" s="117" t="s">
        <v>142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2"/>
      <c r="X10" s="32"/>
      <c r="Y10" s="32"/>
      <c r="Z10" s="32"/>
      <c r="AA10" s="32"/>
      <c r="AB10" s="32"/>
    </row>
    <row r="11" spans="1:28" s="33" customFormat="1">
      <c r="A11" s="62">
        <v>8</v>
      </c>
      <c r="B11" s="115" t="s">
        <v>143</v>
      </c>
      <c r="C11" s="28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2"/>
      <c r="X11" s="32"/>
      <c r="Y11" s="32"/>
      <c r="Z11" s="32"/>
      <c r="AA11" s="32"/>
      <c r="AB11" s="32"/>
    </row>
    <row r="12" spans="1:28" s="33" customFormat="1">
      <c r="A12" s="62">
        <v>9</v>
      </c>
      <c r="B12" s="34" t="s">
        <v>524</v>
      </c>
      <c r="C12" s="28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2"/>
      <c r="X12" s="32"/>
      <c r="Y12" s="32"/>
      <c r="Z12" s="32"/>
      <c r="AA12" s="32"/>
      <c r="AB12" s="32"/>
    </row>
    <row r="13" spans="1:28" s="33" customFormat="1">
      <c r="B13" s="35"/>
      <c r="C13" s="36"/>
      <c r="D13" s="37"/>
      <c r="E13" s="3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2"/>
      <c r="X13" s="32"/>
      <c r="Y13" s="32"/>
      <c r="Z13" s="32"/>
      <c r="AA13" s="32"/>
      <c r="AB13" s="32"/>
    </row>
    <row r="14" spans="1:28" s="33" customFormat="1">
      <c r="B14" s="34"/>
      <c r="C14" s="28"/>
      <c r="D14" s="29"/>
      <c r="E14" s="39"/>
      <c r="F14" s="30"/>
      <c r="G14" s="30"/>
      <c r="H14" s="30"/>
      <c r="I14" s="4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32"/>
      <c r="X14" s="32"/>
      <c r="Y14" s="32"/>
      <c r="Z14" s="32"/>
      <c r="AA14" s="32"/>
      <c r="AB14" s="32"/>
    </row>
    <row r="15" spans="1:28" s="33" customFormat="1">
      <c r="B15" s="34"/>
      <c r="C15" s="28"/>
      <c r="D15" s="29"/>
      <c r="E15" s="3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32"/>
      <c r="X15" s="32"/>
      <c r="Y15" s="32"/>
      <c r="Z15" s="32"/>
      <c r="AA15" s="32"/>
      <c r="AB15" s="32"/>
    </row>
    <row r="16" spans="1:28" s="33" customFormat="1">
      <c r="B16" s="34"/>
      <c r="C16" s="28"/>
      <c r="D16" s="29"/>
      <c r="E16" s="3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32"/>
      <c r="X16" s="32"/>
      <c r="Y16" s="32"/>
      <c r="Z16" s="32"/>
      <c r="AA16" s="32"/>
      <c r="AB16" s="32"/>
    </row>
    <row r="17" spans="2:33" s="33" customFormat="1">
      <c r="B17" s="34"/>
      <c r="C17" s="28"/>
      <c r="D17" s="29"/>
      <c r="E17" s="3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32"/>
      <c r="X17" s="32"/>
      <c r="Y17" s="32"/>
      <c r="Z17" s="32"/>
      <c r="AA17" s="32"/>
      <c r="AB17" s="32"/>
    </row>
    <row r="18" spans="2:33" s="33" customFormat="1">
      <c r="B18" s="34"/>
      <c r="C18" s="28"/>
      <c r="D18" s="29"/>
      <c r="E18" s="39"/>
      <c r="F18" s="30"/>
      <c r="G18" s="30"/>
      <c r="H18" s="30"/>
      <c r="I18" s="31"/>
      <c r="J18" s="30"/>
      <c r="K18" s="30"/>
      <c r="L18" s="31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32"/>
      <c r="Y18" s="32"/>
      <c r="Z18" s="32"/>
      <c r="AA18" s="32"/>
      <c r="AB18" s="32"/>
    </row>
    <row r="19" spans="2:33" s="33" customFormat="1">
      <c r="B19" s="34"/>
      <c r="C19" s="28"/>
      <c r="D19" s="29"/>
      <c r="E19" s="39"/>
      <c r="F19" s="31"/>
      <c r="G19" s="30"/>
      <c r="H19" s="30"/>
      <c r="I19" s="30"/>
      <c r="J19" s="31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2:33" s="43" customFormat="1">
      <c r="B20" s="81" t="s">
        <v>18</v>
      </c>
      <c r="C20" s="41"/>
      <c r="D20" s="41"/>
      <c r="E20" s="41"/>
      <c r="F20" s="41"/>
      <c r="G20" s="41"/>
      <c r="H20" s="4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41"/>
      <c r="V20" s="6">
        <v>8</v>
      </c>
      <c r="AC20" s="42"/>
      <c r="AD20" s="42"/>
      <c r="AE20" s="42"/>
      <c r="AF20" s="42"/>
      <c r="AG20" s="42"/>
    </row>
    <row r="21" spans="2:33"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</sheetData>
  <mergeCells count="1">
    <mergeCell ref="D1:H1"/>
  </mergeCells>
  <phoneticPr fontId="2" type="noConversion"/>
  <pageMargins left="0.75" right="0.75" top="1" bottom="1" header="0.5" footer="0.5"/>
  <pageSetup orientation="portrait" horizontalDpi="200" verticalDpi="200" r:id="rId1"/>
  <headerFooter alignWithMargins="0"/>
  <customProperties>
    <customPr name="DVSECTION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1"/>
  <sheetViews>
    <sheetView workbookViewId="0">
      <selection activeCell="B18" sqref="B18"/>
    </sheetView>
  </sheetViews>
  <sheetFormatPr defaultRowHeight="12.75"/>
  <cols>
    <col min="1" max="1" width="11" style="18" customWidth="1"/>
    <col min="2" max="2" width="17.85546875" style="18" customWidth="1"/>
    <col min="3" max="3" width="9" style="18" customWidth="1"/>
    <col min="4" max="4" width="9.28515625" style="18" customWidth="1"/>
    <col min="5" max="5" width="14.5703125" style="18" customWidth="1"/>
    <col min="6" max="6" width="13.42578125" style="18" customWidth="1"/>
    <col min="7" max="7" width="13.28515625" style="18" customWidth="1"/>
    <col min="8" max="8" width="11" style="71" customWidth="1"/>
    <col min="9" max="9" width="8.7109375" style="71" customWidth="1"/>
    <col min="10" max="10" width="8.42578125" style="71" customWidth="1"/>
    <col min="11" max="11" width="10" style="71" customWidth="1"/>
    <col min="12" max="12" width="7.85546875" style="71" customWidth="1"/>
    <col min="13" max="13" width="8.85546875" style="71" customWidth="1"/>
    <col min="14" max="14" width="11.28515625" style="71" customWidth="1"/>
    <col min="15" max="20" width="9.140625" style="18"/>
    <col min="21" max="21" width="11.85546875" style="18" customWidth="1"/>
    <col min="22" max="16384" width="9.140625" style="18"/>
  </cols>
  <sheetData>
    <row r="1" spans="1:22" ht="12" customHeight="1">
      <c r="A1" s="154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2" s="153" customFormat="1" ht="32.450000000000003" customHeight="1" thickBot="1">
      <c r="A2" s="151" t="s">
        <v>80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2" s="46" customFormat="1" ht="26.25" thickBot="1">
      <c r="A3" s="44" t="s">
        <v>122</v>
      </c>
      <c r="B3" s="44" t="s">
        <v>6</v>
      </c>
      <c r="C3" s="44" t="s">
        <v>7</v>
      </c>
      <c r="D3" s="44" t="s">
        <v>0</v>
      </c>
      <c r="E3" s="44" t="s">
        <v>1</v>
      </c>
      <c r="F3" s="44" t="s">
        <v>2</v>
      </c>
      <c r="G3" s="44" t="s">
        <v>3</v>
      </c>
      <c r="H3" s="44" t="s">
        <v>4</v>
      </c>
      <c r="I3" s="22" t="s">
        <v>67</v>
      </c>
      <c r="J3" s="23" t="s">
        <v>68</v>
      </c>
      <c r="K3" s="23" t="s">
        <v>69</v>
      </c>
      <c r="L3" s="23" t="s">
        <v>70</v>
      </c>
      <c r="M3" s="24" t="s">
        <v>71</v>
      </c>
      <c r="N3" s="24" t="s">
        <v>72</v>
      </c>
      <c r="O3" s="82" t="s">
        <v>73</v>
      </c>
      <c r="P3" s="83" t="s">
        <v>74</v>
      </c>
      <c r="Q3" s="83" t="s">
        <v>75</v>
      </c>
      <c r="R3" s="83" t="s">
        <v>76</v>
      </c>
      <c r="S3" s="83" t="s">
        <v>77</v>
      </c>
      <c r="T3" s="83" t="s">
        <v>78</v>
      </c>
      <c r="U3" s="84" t="s">
        <v>79</v>
      </c>
      <c r="V3" s="67" t="s">
        <v>81</v>
      </c>
    </row>
    <row r="4" spans="1:22" s="46" customFormat="1" ht="25.5">
      <c r="A4" s="46">
        <v>1</v>
      </c>
      <c r="B4" s="66" t="s">
        <v>485</v>
      </c>
      <c r="C4" s="12"/>
      <c r="D4" s="72"/>
      <c r="E4" s="72" t="s">
        <v>500</v>
      </c>
      <c r="F4" s="72" t="s">
        <v>501</v>
      </c>
      <c r="G4" s="72"/>
      <c r="H4" s="72"/>
      <c r="I4" s="72"/>
      <c r="J4" s="72"/>
      <c r="K4" s="72"/>
      <c r="L4" s="72"/>
      <c r="M4" s="72"/>
      <c r="N4" s="72"/>
    </row>
    <row r="5" spans="1:22" s="46" customFormat="1" ht="25.5">
      <c r="A5" s="46">
        <v>2</v>
      </c>
      <c r="B5" s="66" t="s">
        <v>486</v>
      </c>
      <c r="C5" s="12"/>
      <c r="D5" s="72"/>
      <c r="E5" s="72"/>
      <c r="F5" s="72" t="s">
        <v>502</v>
      </c>
      <c r="G5" s="72"/>
      <c r="H5" s="72"/>
      <c r="I5" s="72"/>
      <c r="J5" s="72"/>
      <c r="K5" s="72"/>
      <c r="L5" s="72"/>
      <c r="M5" s="72"/>
      <c r="N5" s="72"/>
    </row>
    <row r="6" spans="1:22" s="46" customFormat="1">
      <c r="A6" s="46">
        <v>3</v>
      </c>
      <c r="B6" s="66" t="s">
        <v>487</v>
      </c>
      <c r="C6" s="12"/>
      <c r="D6" s="72"/>
      <c r="E6" s="72"/>
      <c r="F6" s="72" t="s">
        <v>513</v>
      </c>
      <c r="G6" s="72" t="s">
        <v>514</v>
      </c>
      <c r="H6" s="72"/>
      <c r="I6" s="72"/>
      <c r="J6" s="72"/>
      <c r="K6" s="72"/>
      <c r="L6" s="72"/>
      <c r="M6" s="72"/>
      <c r="N6" s="72"/>
    </row>
    <row r="7" spans="1:22" s="46" customFormat="1">
      <c r="A7" s="46">
        <v>4</v>
      </c>
      <c r="B7" s="66" t="s">
        <v>488</v>
      </c>
      <c r="C7" s="12"/>
      <c r="D7" s="72"/>
      <c r="E7" s="72" t="s">
        <v>503</v>
      </c>
      <c r="F7" s="72" t="s">
        <v>504</v>
      </c>
      <c r="G7" s="72"/>
      <c r="H7" s="72"/>
      <c r="I7" s="72"/>
      <c r="J7" s="72"/>
      <c r="K7" s="72"/>
      <c r="L7" s="72"/>
      <c r="M7" s="72"/>
      <c r="N7" s="72"/>
    </row>
    <row r="8" spans="1:22" s="46" customFormat="1">
      <c r="A8" s="46">
        <v>5</v>
      </c>
      <c r="B8" s="66" t="s">
        <v>489</v>
      </c>
      <c r="C8" s="12"/>
      <c r="D8" s="72"/>
      <c r="E8" s="72"/>
      <c r="F8" s="72" t="s">
        <v>507</v>
      </c>
      <c r="G8" s="72" t="s">
        <v>508</v>
      </c>
      <c r="H8" s="72" t="s">
        <v>509</v>
      </c>
      <c r="I8" s="72"/>
      <c r="J8" s="72"/>
      <c r="K8" s="72"/>
      <c r="L8" s="72"/>
      <c r="M8" s="72"/>
      <c r="N8" s="72"/>
    </row>
    <row r="9" spans="1:22" s="46" customFormat="1" ht="12.75" customHeight="1">
      <c r="A9" s="46">
        <v>6</v>
      </c>
      <c r="B9" s="66" t="s">
        <v>490</v>
      </c>
      <c r="C9" s="12"/>
      <c r="D9" s="72"/>
      <c r="E9" s="72"/>
      <c r="F9" s="72"/>
      <c r="G9" s="72" t="s">
        <v>521</v>
      </c>
      <c r="H9" s="72" t="s">
        <v>522</v>
      </c>
      <c r="I9" s="72"/>
      <c r="J9" s="72"/>
      <c r="K9" s="72"/>
      <c r="L9" s="72"/>
      <c r="M9" s="72"/>
      <c r="N9" s="72"/>
    </row>
    <row r="10" spans="1:22" s="46" customFormat="1">
      <c r="A10" s="46">
        <v>7</v>
      </c>
      <c r="B10" s="66" t="s">
        <v>491</v>
      </c>
      <c r="C10" s="12"/>
      <c r="D10" s="72"/>
      <c r="E10" s="72"/>
      <c r="F10" s="72" t="s">
        <v>520</v>
      </c>
      <c r="G10" s="72"/>
      <c r="H10" s="72"/>
      <c r="I10" s="72"/>
      <c r="J10" s="72"/>
      <c r="K10" s="72"/>
      <c r="L10" s="72"/>
      <c r="M10" s="72"/>
      <c r="N10" s="72"/>
    </row>
    <row r="11" spans="1:22" s="46" customFormat="1">
      <c r="A11" s="46">
        <v>8</v>
      </c>
      <c r="B11" s="66" t="s">
        <v>492</v>
      </c>
      <c r="C11" s="12"/>
      <c r="D11" s="72"/>
      <c r="E11" s="72"/>
      <c r="F11" s="72" t="s">
        <v>519</v>
      </c>
      <c r="G11" s="72"/>
      <c r="H11" s="72"/>
      <c r="I11" s="72"/>
      <c r="J11" s="72"/>
      <c r="K11" s="72"/>
      <c r="L11" s="72"/>
      <c r="M11" s="72"/>
      <c r="N11" s="72"/>
    </row>
    <row r="12" spans="1:22" s="46" customFormat="1">
      <c r="A12" s="63">
        <v>9</v>
      </c>
      <c r="B12" s="66" t="s">
        <v>493</v>
      </c>
      <c r="C12" s="12"/>
      <c r="D12" s="72"/>
      <c r="E12" s="72" t="s">
        <v>512</v>
      </c>
      <c r="F12" s="72" t="s">
        <v>504</v>
      </c>
      <c r="G12" s="72"/>
      <c r="H12" s="72"/>
      <c r="I12" s="72"/>
      <c r="J12" s="72"/>
      <c r="K12" s="72"/>
      <c r="L12" s="72"/>
      <c r="M12" s="72"/>
      <c r="N12" s="72"/>
    </row>
    <row r="13" spans="1:22" s="46" customFormat="1">
      <c r="A13" s="46">
        <v>10</v>
      </c>
      <c r="B13" s="66" t="s">
        <v>494</v>
      </c>
      <c r="C13" s="12"/>
      <c r="D13" s="72"/>
      <c r="E13" s="72" t="s">
        <v>505</v>
      </c>
      <c r="F13" s="72"/>
      <c r="G13" s="72" t="s">
        <v>506</v>
      </c>
      <c r="H13" s="72"/>
      <c r="I13" s="72"/>
      <c r="J13" s="72"/>
      <c r="K13" s="72"/>
      <c r="L13" s="72"/>
      <c r="M13" s="72"/>
      <c r="N13" s="72"/>
    </row>
    <row r="14" spans="1:22" s="46" customFormat="1">
      <c r="A14" s="46">
        <v>11</v>
      </c>
      <c r="B14" s="66" t="s">
        <v>495</v>
      </c>
      <c r="C14" s="12"/>
      <c r="D14" s="72"/>
      <c r="E14" s="72"/>
      <c r="F14" s="72" t="s">
        <v>518</v>
      </c>
      <c r="G14" s="72"/>
      <c r="H14" s="72"/>
      <c r="I14" s="72"/>
      <c r="J14" s="72"/>
      <c r="K14" s="72"/>
      <c r="L14" s="72"/>
      <c r="M14" s="72"/>
      <c r="N14" s="72"/>
    </row>
    <row r="15" spans="1:22" s="46" customFormat="1" ht="25.5">
      <c r="A15" s="46">
        <v>12</v>
      </c>
      <c r="B15" s="66" t="s">
        <v>496</v>
      </c>
      <c r="C15" s="12"/>
      <c r="D15" s="72"/>
      <c r="E15" s="72" t="s">
        <v>516</v>
      </c>
      <c r="F15" s="72" t="s">
        <v>517</v>
      </c>
      <c r="G15" s="72"/>
      <c r="H15" s="72"/>
      <c r="I15" s="72"/>
      <c r="J15" s="72"/>
      <c r="K15" s="72"/>
      <c r="L15" s="72"/>
      <c r="M15" s="72"/>
      <c r="N15" s="72"/>
    </row>
    <row r="16" spans="1:22" s="46" customFormat="1">
      <c r="A16" s="46">
        <v>13</v>
      </c>
      <c r="B16" s="66" t="s">
        <v>497</v>
      </c>
      <c r="C16" s="12"/>
      <c r="D16" s="72"/>
      <c r="E16" s="72" t="s">
        <v>515</v>
      </c>
      <c r="F16" s="72" t="s">
        <v>504</v>
      </c>
      <c r="G16" s="72"/>
      <c r="H16" s="72"/>
      <c r="I16" s="72"/>
      <c r="J16" s="72"/>
      <c r="K16" s="72"/>
      <c r="L16" s="72"/>
      <c r="M16" s="72"/>
      <c r="N16" s="72"/>
    </row>
    <row r="17" spans="1:14" s="46" customFormat="1">
      <c r="A17" s="46">
        <v>14</v>
      </c>
      <c r="B17" s="66" t="s">
        <v>498</v>
      </c>
      <c r="C17" s="12"/>
      <c r="D17" s="72"/>
      <c r="E17" s="72" t="s">
        <v>512</v>
      </c>
      <c r="F17" s="72" t="s">
        <v>504</v>
      </c>
      <c r="G17" s="72"/>
      <c r="H17" s="72"/>
      <c r="I17" s="72"/>
      <c r="J17" s="72"/>
      <c r="K17" s="72"/>
      <c r="L17" s="72"/>
      <c r="M17" s="72"/>
      <c r="N17" s="72"/>
    </row>
    <row r="18" spans="1:14" s="46" customFormat="1" ht="25.5">
      <c r="A18" s="46">
        <v>15</v>
      </c>
      <c r="B18" s="66" t="s">
        <v>499</v>
      </c>
      <c r="C18" s="12"/>
      <c r="D18" s="72"/>
      <c r="E18" s="72"/>
      <c r="F18" s="72" t="s">
        <v>510</v>
      </c>
      <c r="G18" s="72" t="s">
        <v>511</v>
      </c>
      <c r="H18" s="72"/>
      <c r="I18" s="72"/>
      <c r="J18" s="72"/>
      <c r="K18" s="72"/>
      <c r="L18" s="72"/>
      <c r="M18" s="72"/>
      <c r="N18" s="72"/>
    </row>
    <row r="19" spans="1:14" s="46" customFormat="1">
      <c r="B19" s="12"/>
      <c r="C19" s="1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s="46" customFormat="1">
      <c r="B20" s="12"/>
      <c r="C20" s="1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s="46" customFormat="1">
      <c r="B21" s="12"/>
      <c r="C21" s="1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s="46" customFormat="1">
      <c r="B22" s="12"/>
      <c r="C22" s="1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s="46" customFormat="1">
      <c r="B23" s="12"/>
      <c r="C23" s="1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s="46" customFormat="1">
      <c r="B24" s="12"/>
      <c r="C24" s="1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s="46" customFormat="1">
      <c r="B25" s="12"/>
      <c r="C25" s="1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s="46" customFormat="1">
      <c r="B26" s="12"/>
      <c r="C26" s="1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s="46" customFormat="1">
      <c r="B27" s="12"/>
      <c r="C27" s="1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s="46" customFormat="1">
      <c r="B28" s="12"/>
      <c r="C28" s="1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>
      <c r="A29" s="47" t="s">
        <v>19</v>
      </c>
      <c r="B29" s="75"/>
      <c r="C29" s="76"/>
      <c r="D29" s="76"/>
      <c r="E29" s="76"/>
      <c r="F29" s="76"/>
      <c r="G29" s="76"/>
      <c r="H29" s="73"/>
      <c r="I29" s="73"/>
      <c r="J29" s="73"/>
      <c r="K29" s="73"/>
      <c r="L29" s="73"/>
      <c r="M29" s="73"/>
      <c r="N29" s="74"/>
    </row>
    <row r="30" spans="1:14">
      <c r="B30" s="71"/>
      <c r="C30" s="71"/>
      <c r="D30" s="71"/>
      <c r="E30" s="71"/>
      <c r="F30" s="71"/>
      <c r="G30" s="71"/>
    </row>
    <row r="31" spans="1:14">
      <c r="B31" s="71"/>
      <c r="C31" s="71"/>
      <c r="D31" s="71"/>
      <c r="E31" s="71"/>
      <c r="F31" s="71"/>
      <c r="G31" s="71"/>
    </row>
  </sheetData>
  <mergeCells count="2">
    <mergeCell ref="A2:XFD2"/>
    <mergeCell ref="A1:N1"/>
  </mergeCells>
  <phoneticPr fontId="2" type="noConversion"/>
  <pageMargins left="0.24" right="0.18" top="1" bottom="1" header="0.52" footer="0.5"/>
  <pageSetup orientation="landscape" r:id="rId1"/>
  <headerFooter alignWithMargins="0"/>
  <customProperties>
    <customPr name="DVSECTION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866"/>
  <sheetViews>
    <sheetView topLeftCell="A28" workbookViewId="0">
      <selection activeCell="B61" sqref="B61"/>
    </sheetView>
  </sheetViews>
  <sheetFormatPr defaultColWidth="12.7109375" defaultRowHeight="12.75"/>
  <cols>
    <col min="1" max="1" width="12.7109375" style="18"/>
    <col min="2" max="2" width="20.42578125" style="18" customWidth="1"/>
    <col min="3" max="3" width="12.7109375" style="18" customWidth="1"/>
    <col min="4" max="4" width="14.85546875" style="18" customWidth="1"/>
    <col min="5" max="5" width="18" style="18" customWidth="1"/>
    <col min="6" max="6" width="12.85546875" style="18" customWidth="1"/>
    <col min="7" max="7" width="15.5703125" style="18" customWidth="1"/>
    <col min="8" max="8" width="14.28515625" style="18" customWidth="1"/>
    <col min="9" max="15" width="12.7109375" style="71" customWidth="1"/>
    <col min="16" max="20" width="12.7109375" style="46"/>
    <col min="21" max="21" width="12.7109375" style="50"/>
    <col min="22" max="22" width="14.140625" style="46" customWidth="1"/>
    <col min="23" max="16384" width="12.7109375" style="18"/>
  </cols>
  <sheetData>
    <row r="1" spans="1:22" s="27" customFormat="1">
      <c r="B1" s="155" t="s">
        <v>66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</row>
    <row r="2" spans="1:22" s="27" customFormat="1">
      <c r="B2" s="18"/>
      <c r="C2" s="18"/>
      <c r="D2" s="18"/>
      <c r="E2" s="18"/>
      <c r="F2" s="18"/>
      <c r="G2" s="18"/>
      <c r="H2" s="18"/>
      <c r="I2" s="71"/>
      <c r="J2" s="71"/>
      <c r="K2" s="71"/>
      <c r="L2" s="71"/>
      <c r="M2" s="71"/>
      <c r="N2" s="71"/>
      <c r="O2" s="71"/>
      <c r="P2" s="46"/>
      <c r="Q2" s="46"/>
      <c r="R2" s="46"/>
      <c r="S2" s="46"/>
      <c r="T2" s="46"/>
      <c r="U2" s="50"/>
      <c r="V2" s="46"/>
    </row>
    <row r="3" spans="1:22" s="27" customFormat="1" ht="13.5" thickBot="1">
      <c r="A3" s="122"/>
      <c r="B3" s="48" t="s">
        <v>10</v>
      </c>
      <c r="C3" s="46"/>
      <c r="D3" s="46"/>
      <c r="E3" s="46"/>
      <c r="F3" s="46"/>
      <c r="G3" s="46"/>
      <c r="H3" s="46"/>
      <c r="I3" s="72"/>
      <c r="J3" s="72"/>
      <c r="K3" s="72"/>
      <c r="L3" s="72"/>
      <c r="M3" s="72"/>
      <c r="N3" s="72"/>
      <c r="O3" s="90"/>
      <c r="P3" s="91"/>
      <c r="Q3" s="91"/>
      <c r="R3" s="91"/>
      <c r="S3" s="91"/>
      <c r="T3" s="91"/>
      <c r="U3" s="94"/>
      <c r="V3" s="91"/>
    </row>
    <row r="4" spans="1:22" s="27" customFormat="1" ht="26.25" thickBot="1">
      <c r="A4" s="122" t="s">
        <v>122</v>
      </c>
      <c r="B4" s="44" t="s">
        <v>6</v>
      </c>
      <c r="C4" s="45" t="s">
        <v>7</v>
      </c>
      <c r="D4" s="45" t="s">
        <v>0</v>
      </c>
      <c r="E4" s="45" t="s">
        <v>1</v>
      </c>
      <c r="F4" s="45" t="s">
        <v>2</v>
      </c>
      <c r="G4" s="45" t="s">
        <v>3</v>
      </c>
      <c r="H4" s="45" t="s">
        <v>4</v>
      </c>
      <c r="I4" s="22" t="s">
        <v>67</v>
      </c>
      <c r="J4" s="23" t="s">
        <v>68</v>
      </c>
      <c r="K4" s="23" t="s">
        <v>69</v>
      </c>
      <c r="L4" s="23" t="s">
        <v>70</v>
      </c>
      <c r="M4" s="24" t="s">
        <v>71</v>
      </c>
      <c r="N4" s="24" t="s">
        <v>72</v>
      </c>
      <c r="O4" s="24" t="s">
        <v>73</v>
      </c>
      <c r="P4" s="92" t="s">
        <v>74</v>
      </c>
      <c r="Q4" s="92" t="s">
        <v>75</v>
      </c>
      <c r="R4" s="92" t="s">
        <v>76</v>
      </c>
      <c r="S4" s="92" t="s">
        <v>77</v>
      </c>
      <c r="T4" s="92" t="s">
        <v>78</v>
      </c>
      <c r="U4" s="95" t="s">
        <v>79</v>
      </c>
      <c r="V4" s="9" t="s">
        <v>81</v>
      </c>
    </row>
    <row r="5" spans="1:22" s="27" customFormat="1">
      <c r="A5" s="27">
        <v>1</v>
      </c>
      <c r="B5" s="46" t="s">
        <v>144</v>
      </c>
      <c r="C5" s="10" t="s">
        <v>163</v>
      </c>
      <c r="D5" s="10" t="s">
        <v>191</v>
      </c>
      <c r="E5" s="46" t="s">
        <v>223</v>
      </c>
      <c r="F5" s="46" t="s">
        <v>224</v>
      </c>
      <c r="G5" s="46" t="s">
        <v>255</v>
      </c>
      <c r="H5" s="46" t="s">
        <v>225</v>
      </c>
      <c r="I5" s="72" t="s">
        <v>89</v>
      </c>
      <c r="J5" s="72"/>
      <c r="K5" s="72"/>
      <c r="L5" s="72"/>
      <c r="M5" s="72"/>
      <c r="N5" s="72"/>
      <c r="O5" s="88"/>
      <c r="P5" s="89"/>
      <c r="Q5" s="89"/>
      <c r="R5" s="89"/>
      <c r="S5" s="89"/>
      <c r="T5" s="89"/>
      <c r="U5" s="96"/>
      <c r="V5" s="89"/>
    </row>
    <row r="6" spans="1:22" s="27" customFormat="1">
      <c r="A6" s="27">
        <v>2</v>
      </c>
      <c r="B6" s="46" t="s">
        <v>145</v>
      </c>
      <c r="C6" s="10" t="s">
        <v>163</v>
      </c>
      <c r="D6" s="10" t="s">
        <v>192</v>
      </c>
      <c r="E6" s="46" t="s">
        <v>223</v>
      </c>
      <c r="F6" s="46" t="s">
        <v>224</v>
      </c>
      <c r="G6" s="46" t="s">
        <v>255</v>
      </c>
      <c r="H6" s="46" t="s">
        <v>225</v>
      </c>
      <c r="I6" s="72" t="s">
        <v>89</v>
      </c>
      <c r="J6" s="72" t="s">
        <v>89</v>
      </c>
      <c r="K6" s="72"/>
      <c r="L6" s="72"/>
      <c r="M6" s="72"/>
      <c r="N6" s="72"/>
      <c r="O6" s="85"/>
      <c r="P6" s="46"/>
      <c r="Q6" s="46"/>
      <c r="R6" s="46"/>
      <c r="S6" s="46"/>
      <c r="T6" s="46"/>
      <c r="U6" s="50"/>
      <c r="V6" s="46"/>
    </row>
    <row r="7" spans="1:22" s="27" customFormat="1">
      <c r="A7" s="27">
        <v>3</v>
      </c>
      <c r="B7" s="46" t="s">
        <v>146</v>
      </c>
      <c r="C7" s="10" t="s">
        <v>164</v>
      </c>
      <c r="D7" s="10" t="s">
        <v>193</v>
      </c>
      <c r="E7" s="46" t="s">
        <v>226</v>
      </c>
      <c r="F7" s="46" t="s">
        <v>227</v>
      </c>
      <c r="G7" s="46" t="s">
        <v>255</v>
      </c>
      <c r="H7" s="46" t="s">
        <v>225</v>
      </c>
      <c r="I7" s="72" t="s">
        <v>89</v>
      </c>
      <c r="J7" s="72"/>
      <c r="K7" s="72"/>
      <c r="L7" s="72"/>
      <c r="M7" s="72"/>
      <c r="N7" s="72"/>
      <c r="O7" s="85"/>
      <c r="P7" s="46"/>
      <c r="Q7" s="46"/>
      <c r="R7" s="46"/>
      <c r="S7" s="46"/>
      <c r="T7" s="46"/>
      <c r="U7" s="50"/>
      <c r="V7" s="46"/>
    </row>
    <row r="8" spans="1:22" s="27" customFormat="1">
      <c r="A8" s="123">
        <v>4</v>
      </c>
      <c r="B8" s="46" t="s">
        <v>147</v>
      </c>
      <c r="C8" s="10" t="s">
        <v>165</v>
      </c>
      <c r="D8" s="10" t="s">
        <v>194</v>
      </c>
      <c r="E8" s="46" t="s">
        <v>228</v>
      </c>
      <c r="F8" s="46" t="s">
        <v>229</v>
      </c>
      <c r="G8" s="46" t="s">
        <v>255</v>
      </c>
      <c r="H8" s="46" t="s">
        <v>225</v>
      </c>
      <c r="I8" s="72" t="s">
        <v>89</v>
      </c>
      <c r="J8" s="72"/>
      <c r="K8" s="72"/>
      <c r="L8" s="72"/>
      <c r="M8" s="72"/>
      <c r="N8" s="72"/>
      <c r="O8" s="85"/>
      <c r="P8" s="46"/>
      <c r="Q8" s="46"/>
      <c r="R8" s="46"/>
      <c r="S8" s="46"/>
      <c r="T8" s="46"/>
      <c r="U8" s="50"/>
      <c r="V8" s="46"/>
    </row>
    <row r="9" spans="1:22" s="27" customFormat="1">
      <c r="A9" s="123">
        <v>5</v>
      </c>
      <c r="B9" s="46" t="s">
        <v>148</v>
      </c>
      <c r="C9" s="10" t="s">
        <v>166</v>
      </c>
      <c r="D9" s="10" t="s">
        <v>195</v>
      </c>
      <c r="E9" s="46" t="s">
        <v>230</v>
      </c>
      <c r="F9" s="46" t="s">
        <v>231</v>
      </c>
      <c r="G9" s="46" t="s">
        <v>232</v>
      </c>
      <c r="H9" s="46" t="s">
        <v>233</v>
      </c>
      <c r="I9" s="72"/>
      <c r="J9" s="72" t="s">
        <v>89</v>
      </c>
      <c r="K9" s="72"/>
      <c r="L9" s="72"/>
      <c r="M9" s="72"/>
      <c r="N9" s="72"/>
      <c r="O9" s="85"/>
      <c r="P9" s="46"/>
      <c r="Q9" s="46"/>
      <c r="R9" s="46" t="s">
        <v>89</v>
      </c>
      <c r="S9" s="46"/>
      <c r="T9" s="46"/>
      <c r="U9" s="50"/>
      <c r="V9" s="46"/>
    </row>
    <row r="10" spans="1:22" s="27" customFormat="1">
      <c r="A10" s="123">
        <v>6</v>
      </c>
      <c r="B10" s="46"/>
      <c r="C10" s="10" t="s">
        <v>167</v>
      </c>
      <c r="D10" s="10" t="s">
        <v>196</v>
      </c>
      <c r="E10" s="46" t="s">
        <v>235</v>
      </c>
      <c r="F10" s="46" t="s">
        <v>252</v>
      </c>
      <c r="G10" s="46" t="s">
        <v>254</v>
      </c>
      <c r="H10" s="46" t="s">
        <v>225</v>
      </c>
      <c r="I10" s="72"/>
      <c r="J10" s="72"/>
      <c r="K10" s="72"/>
      <c r="L10" s="72"/>
      <c r="M10" s="72"/>
      <c r="N10" s="72"/>
      <c r="O10" s="85"/>
      <c r="P10" s="46"/>
      <c r="Q10" s="46"/>
      <c r="R10" s="46" t="s">
        <v>89</v>
      </c>
      <c r="S10" s="46"/>
      <c r="T10" s="46"/>
      <c r="U10" s="50"/>
      <c r="V10" s="46"/>
    </row>
    <row r="11" spans="1:22" s="27" customFormat="1">
      <c r="A11" s="123">
        <v>7</v>
      </c>
      <c r="B11" s="46"/>
      <c r="C11" s="10" t="s">
        <v>168</v>
      </c>
      <c r="D11" s="10" t="s">
        <v>197</v>
      </c>
      <c r="E11" s="46" t="s">
        <v>236</v>
      </c>
      <c r="F11" s="46" t="s">
        <v>253</v>
      </c>
      <c r="G11" s="46" t="s">
        <v>256</v>
      </c>
      <c r="H11" s="46" t="s">
        <v>233</v>
      </c>
      <c r="I11" s="72" t="s">
        <v>89</v>
      </c>
      <c r="J11" s="72"/>
      <c r="K11" s="72"/>
      <c r="L11" s="72"/>
      <c r="M11" s="72"/>
      <c r="N11" s="72"/>
      <c r="O11" s="85"/>
      <c r="P11" s="46"/>
      <c r="Q11" s="46"/>
      <c r="R11" s="46"/>
      <c r="S11" s="46"/>
      <c r="T11" s="46"/>
      <c r="U11" s="50"/>
      <c r="V11" s="46"/>
    </row>
    <row r="12" spans="1:22" s="27" customFormat="1">
      <c r="A12" s="123">
        <v>8</v>
      </c>
      <c r="B12" s="46"/>
      <c r="C12" s="10" t="s">
        <v>169</v>
      </c>
      <c r="D12" s="10" t="s">
        <v>198</v>
      </c>
      <c r="E12" s="46" t="s">
        <v>237</v>
      </c>
      <c r="F12" s="46" t="s">
        <v>252</v>
      </c>
      <c r="G12" s="46" t="s">
        <v>255</v>
      </c>
      <c r="H12" s="46" t="s">
        <v>225</v>
      </c>
      <c r="I12" s="72" t="s">
        <v>89</v>
      </c>
      <c r="J12" s="72"/>
      <c r="K12" s="72"/>
      <c r="L12" s="72"/>
      <c r="M12" s="72"/>
      <c r="N12" s="72"/>
      <c r="O12" s="85"/>
      <c r="P12" s="46"/>
      <c r="Q12" s="46"/>
      <c r="R12" s="46"/>
      <c r="S12" s="46"/>
      <c r="T12" s="46"/>
      <c r="U12" s="50"/>
      <c r="V12" s="46"/>
    </row>
    <row r="13" spans="1:22" s="27" customFormat="1">
      <c r="A13" s="123">
        <v>9</v>
      </c>
      <c r="B13" s="46" t="s">
        <v>149</v>
      </c>
      <c r="C13" s="10" t="s">
        <v>170</v>
      </c>
      <c r="D13" s="10" t="s">
        <v>199</v>
      </c>
      <c r="E13" s="46" t="s">
        <v>238</v>
      </c>
      <c r="F13" s="46" t="s">
        <v>252</v>
      </c>
      <c r="G13" s="46" t="s">
        <v>255</v>
      </c>
      <c r="H13" s="46" t="s">
        <v>225</v>
      </c>
      <c r="I13" s="72" t="s">
        <v>89</v>
      </c>
      <c r="J13" s="72"/>
      <c r="K13" s="72"/>
      <c r="L13" s="72"/>
      <c r="M13" s="72"/>
      <c r="N13" s="72"/>
      <c r="O13" s="85"/>
      <c r="P13" s="46"/>
      <c r="Q13" s="46"/>
      <c r="R13" s="46"/>
      <c r="S13" s="46"/>
      <c r="T13" s="46"/>
      <c r="U13" s="50"/>
      <c r="V13" s="46"/>
    </row>
    <row r="14" spans="1:22" s="27" customFormat="1">
      <c r="A14" s="123">
        <v>10</v>
      </c>
      <c r="B14" s="46"/>
      <c r="C14" s="10" t="s">
        <v>171</v>
      </c>
      <c r="D14" s="10" t="s">
        <v>200</v>
      </c>
      <c r="E14" s="46" t="s">
        <v>239</v>
      </c>
      <c r="F14" s="46" t="s">
        <v>227</v>
      </c>
      <c r="G14" s="46" t="s">
        <v>255</v>
      </c>
      <c r="H14" s="46" t="s">
        <v>225</v>
      </c>
      <c r="I14" s="72" t="s">
        <v>89</v>
      </c>
      <c r="J14" s="72"/>
      <c r="K14" s="72"/>
      <c r="L14" s="72"/>
      <c r="M14" s="72"/>
      <c r="N14" s="72"/>
      <c r="O14" s="85"/>
      <c r="P14" s="46"/>
      <c r="Q14" s="46"/>
      <c r="R14" s="46"/>
      <c r="S14" s="46"/>
      <c r="T14" s="46"/>
      <c r="U14" s="50"/>
      <c r="V14" s="46"/>
    </row>
    <row r="15" spans="1:22" s="27" customFormat="1">
      <c r="A15" s="123">
        <v>11</v>
      </c>
      <c r="B15" s="46"/>
      <c r="C15" s="10" t="s">
        <v>172</v>
      </c>
      <c r="D15" s="10" t="s">
        <v>201</v>
      </c>
      <c r="E15" s="46" t="s">
        <v>226</v>
      </c>
      <c r="F15" s="46" t="s">
        <v>227</v>
      </c>
      <c r="G15" s="46" t="s">
        <v>255</v>
      </c>
      <c r="H15" s="46" t="s">
        <v>225</v>
      </c>
      <c r="I15" s="72" t="s">
        <v>89</v>
      </c>
      <c r="J15" s="72" t="s">
        <v>89</v>
      </c>
      <c r="K15" s="72"/>
      <c r="L15" s="72"/>
      <c r="M15" s="72"/>
      <c r="N15" s="72"/>
      <c r="O15" s="85"/>
      <c r="P15" s="46"/>
      <c r="Q15" s="46"/>
      <c r="R15" s="46"/>
      <c r="S15" s="46"/>
      <c r="T15" s="46"/>
      <c r="U15" s="50"/>
      <c r="V15" s="46"/>
    </row>
    <row r="16" spans="1:22" s="27" customFormat="1">
      <c r="A16" s="123">
        <v>12</v>
      </c>
      <c r="B16" s="46"/>
      <c r="C16" s="10" t="s">
        <v>173</v>
      </c>
      <c r="D16" s="10" t="s">
        <v>202</v>
      </c>
      <c r="E16" s="46" t="s">
        <v>240</v>
      </c>
      <c r="F16" s="46" t="s">
        <v>258</v>
      </c>
      <c r="G16" s="46" t="s">
        <v>255</v>
      </c>
      <c r="H16" s="46" t="s">
        <v>225</v>
      </c>
      <c r="I16" s="72" t="s">
        <v>89</v>
      </c>
      <c r="J16" s="72"/>
      <c r="K16" s="72"/>
      <c r="L16" s="72"/>
      <c r="M16" s="72"/>
      <c r="N16" s="72"/>
      <c r="O16" s="85"/>
      <c r="P16" s="46"/>
      <c r="Q16" s="46"/>
      <c r="R16" s="46"/>
      <c r="S16" s="46"/>
      <c r="T16" s="46"/>
      <c r="U16" s="50"/>
      <c r="V16" s="46"/>
    </row>
    <row r="17" spans="1:22" s="27" customFormat="1">
      <c r="A17" s="123">
        <v>13</v>
      </c>
      <c r="B17" s="46"/>
      <c r="C17" s="10" t="s">
        <v>174</v>
      </c>
      <c r="D17" s="10" t="s">
        <v>203</v>
      </c>
      <c r="E17" s="46" t="s">
        <v>241</v>
      </c>
      <c r="F17" s="46" t="s">
        <v>252</v>
      </c>
      <c r="G17" s="46" t="s">
        <v>255</v>
      </c>
      <c r="H17" s="46" t="s">
        <v>225</v>
      </c>
      <c r="I17" s="72" t="s">
        <v>89</v>
      </c>
      <c r="J17" s="72"/>
      <c r="K17" s="72"/>
      <c r="L17" s="72"/>
      <c r="M17" s="72"/>
      <c r="N17" s="72"/>
      <c r="O17" s="85"/>
      <c r="P17" s="46"/>
      <c r="Q17" s="46"/>
      <c r="R17" s="46"/>
      <c r="S17" s="46"/>
      <c r="T17" s="46"/>
      <c r="U17" s="50"/>
      <c r="V17" s="46"/>
    </row>
    <row r="18" spans="1:22" s="27" customFormat="1">
      <c r="A18" s="123">
        <v>14</v>
      </c>
      <c r="B18" s="46"/>
      <c r="C18" s="10" t="s">
        <v>175</v>
      </c>
      <c r="D18" s="10" t="s">
        <v>204</v>
      </c>
      <c r="E18" s="46" t="s">
        <v>242</v>
      </c>
      <c r="F18" s="46" t="s">
        <v>252</v>
      </c>
      <c r="G18" s="46" t="s">
        <v>255</v>
      </c>
      <c r="H18" s="46" t="s">
        <v>225</v>
      </c>
      <c r="I18" s="72"/>
      <c r="J18" s="72" t="s">
        <v>89</v>
      </c>
      <c r="K18" s="72"/>
      <c r="L18" s="72"/>
      <c r="M18" s="72"/>
      <c r="N18" s="72"/>
      <c r="O18" s="85"/>
      <c r="P18" s="46"/>
      <c r="Q18" s="46"/>
      <c r="R18" s="46"/>
      <c r="S18" s="46"/>
      <c r="T18" s="46"/>
      <c r="U18" s="50"/>
      <c r="V18" s="46"/>
    </row>
    <row r="19" spans="1:22" s="27" customFormat="1">
      <c r="A19" s="123">
        <v>15</v>
      </c>
      <c r="B19" s="46" t="s">
        <v>150</v>
      </c>
      <c r="C19" s="10" t="s">
        <v>176</v>
      </c>
      <c r="D19" s="10" t="s">
        <v>205</v>
      </c>
      <c r="E19" s="46" t="s">
        <v>243</v>
      </c>
      <c r="F19" s="46" t="s">
        <v>252</v>
      </c>
      <c r="G19" s="46" t="s">
        <v>255</v>
      </c>
      <c r="H19" s="46" t="s">
        <v>225</v>
      </c>
      <c r="I19" s="72" t="s">
        <v>89</v>
      </c>
      <c r="J19" s="72"/>
      <c r="K19" s="72"/>
      <c r="L19" s="72"/>
      <c r="M19" s="72"/>
      <c r="N19" s="72"/>
      <c r="O19" s="85"/>
      <c r="P19" s="46"/>
      <c r="Q19" s="46"/>
      <c r="R19" s="46"/>
      <c r="S19" s="46"/>
      <c r="T19" s="46"/>
      <c r="U19" s="50"/>
      <c r="V19" s="46"/>
    </row>
    <row r="20" spans="1:22" s="27" customFormat="1">
      <c r="A20" s="123">
        <v>16</v>
      </c>
      <c r="B20" s="46" t="s">
        <v>155</v>
      </c>
      <c r="C20" s="10" t="s">
        <v>177</v>
      </c>
      <c r="D20" s="10" t="s">
        <v>206</v>
      </c>
      <c r="E20" s="46" t="s">
        <v>244</v>
      </c>
      <c r="F20" s="46" t="s">
        <v>227</v>
      </c>
      <c r="G20" s="46" t="s">
        <v>255</v>
      </c>
      <c r="H20" s="46" t="s">
        <v>225</v>
      </c>
      <c r="I20" s="72"/>
      <c r="J20" s="72" t="s">
        <v>89</v>
      </c>
      <c r="K20" s="72"/>
      <c r="L20" s="72"/>
      <c r="M20" s="72"/>
      <c r="N20" s="72"/>
      <c r="O20" s="85"/>
      <c r="P20" s="46"/>
      <c r="Q20" s="46"/>
      <c r="R20" s="46"/>
      <c r="S20" s="46"/>
      <c r="T20" s="46"/>
      <c r="U20" s="50"/>
      <c r="V20" s="46"/>
    </row>
    <row r="21" spans="1:22" s="27" customFormat="1">
      <c r="A21" s="123">
        <v>17</v>
      </c>
      <c r="B21" s="46" t="s">
        <v>151</v>
      </c>
      <c r="C21" s="10" t="s">
        <v>178</v>
      </c>
      <c r="D21" s="10" t="s">
        <v>207</v>
      </c>
      <c r="E21" s="46" t="s">
        <v>226</v>
      </c>
      <c r="F21" s="46" t="s">
        <v>227</v>
      </c>
      <c r="G21" s="46" t="s">
        <v>255</v>
      </c>
      <c r="H21" s="46" t="s">
        <v>225</v>
      </c>
      <c r="I21" s="72"/>
      <c r="J21" s="72" t="s">
        <v>89</v>
      </c>
      <c r="K21" s="72"/>
      <c r="L21" s="72"/>
      <c r="M21" s="72"/>
      <c r="N21" s="72"/>
      <c r="O21" s="85"/>
      <c r="P21" s="46"/>
      <c r="Q21" s="46"/>
      <c r="R21" s="46"/>
      <c r="S21" s="46"/>
      <c r="T21" s="46"/>
      <c r="U21" s="50"/>
      <c r="V21" s="46"/>
    </row>
    <row r="22" spans="1:22" s="27" customFormat="1">
      <c r="A22" s="123">
        <v>18</v>
      </c>
      <c r="B22" s="46" t="s">
        <v>152</v>
      </c>
      <c r="C22" s="10" t="s">
        <v>172</v>
      </c>
      <c r="D22" s="10" t="s">
        <v>208</v>
      </c>
      <c r="E22" s="46" t="s">
        <v>226</v>
      </c>
      <c r="F22" s="46" t="s">
        <v>227</v>
      </c>
      <c r="G22" s="46" t="s">
        <v>255</v>
      </c>
      <c r="H22" s="46" t="s">
        <v>225</v>
      </c>
      <c r="I22" s="72"/>
      <c r="J22" s="72" t="s">
        <v>89</v>
      </c>
      <c r="K22" s="72"/>
      <c r="L22" s="72"/>
      <c r="M22" s="72"/>
      <c r="N22" s="72"/>
      <c r="O22" s="85"/>
      <c r="P22" s="46"/>
      <c r="Q22" s="46"/>
      <c r="R22" s="46"/>
      <c r="S22" s="46"/>
      <c r="T22" s="46"/>
      <c r="U22" s="50"/>
      <c r="V22" s="46"/>
    </row>
    <row r="23" spans="1:22" s="27" customFormat="1">
      <c r="A23" s="123">
        <v>19</v>
      </c>
      <c r="B23" s="46" t="s">
        <v>153</v>
      </c>
      <c r="C23" s="10" t="s">
        <v>179</v>
      </c>
      <c r="D23" s="10" t="s">
        <v>209</v>
      </c>
      <c r="E23" s="46" t="s">
        <v>245</v>
      </c>
      <c r="F23" s="46" t="s">
        <v>259</v>
      </c>
      <c r="G23" s="46" t="s">
        <v>257</v>
      </c>
      <c r="H23" s="46" t="s">
        <v>225</v>
      </c>
      <c r="I23" s="72"/>
      <c r="J23" s="72" t="s">
        <v>89</v>
      </c>
      <c r="K23" s="72"/>
      <c r="L23" s="72"/>
      <c r="M23" s="72"/>
      <c r="N23" s="72"/>
      <c r="O23" s="85"/>
      <c r="P23" s="46"/>
      <c r="Q23" s="46"/>
      <c r="R23" s="46"/>
      <c r="S23" s="46"/>
      <c r="T23" s="46"/>
      <c r="U23" s="50"/>
      <c r="V23" s="46"/>
    </row>
    <row r="24" spans="1:22" s="27" customFormat="1">
      <c r="A24" s="123">
        <v>20</v>
      </c>
      <c r="B24" s="46" t="s">
        <v>154</v>
      </c>
      <c r="C24" s="10" t="s">
        <v>168</v>
      </c>
      <c r="D24" s="10" t="s">
        <v>210</v>
      </c>
      <c r="E24" s="46" t="s">
        <v>236</v>
      </c>
      <c r="F24" s="46" t="s">
        <v>253</v>
      </c>
      <c r="G24" s="46" t="s">
        <v>256</v>
      </c>
      <c r="H24" s="46" t="s">
        <v>233</v>
      </c>
      <c r="I24" s="72"/>
      <c r="J24" s="72" t="s">
        <v>89</v>
      </c>
      <c r="K24" s="72"/>
      <c r="L24" s="72"/>
      <c r="M24" s="72"/>
      <c r="N24" s="72"/>
      <c r="O24" s="85"/>
      <c r="P24" s="46"/>
      <c r="Q24" s="46"/>
      <c r="R24" s="46"/>
      <c r="S24" s="46"/>
      <c r="T24" s="46"/>
      <c r="U24" s="50"/>
      <c r="V24" s="46"/>
    </row>
    <row r="25" spans="1:22" s="27" customFormat="1">
      <c r="A25" s="123">
        <v>21</v>
      </c>
      <c r="B25" s="46" t="s">
        <v>156</v>
      </c>
      <c r="C25" s="10" t="s">
        <v>180</v>
      </c>
      <c r="D25" s="10" t="s">
        <v>211</v>
      </c>
      <c r="E25" s="46"/>
      <c r="F25" s="46"/>
      <c r="G25" s="46"/>
      <c r="H25" s="46" t="s">
        <v>234</v>
      </c>
      <c r="I25" s="72"/>
      <c r="J25" s="72" t="s">
        <v>89</v>
      </c>
      <c r="K25" s="72"/>
      <c r="L25" s="72"/>
      <c r="M25" s="72"/>
      <c r="N25" s="72"/>
      <c r="O25" s="85"/>
      <c r="P25" s="46"/>
      <c r="Q25" s="46" t="s">
        <v>89</v>
      </c>
      <c r="R25" s="46"/>
      <c r="S25" s="46"/>
      <c r="T25" s="46"/>
      <c r="U25" s="50"/>
      <c r="V25" s="46"/>
    </row>
    <row r="26" spans="1:22" s="27" customFormat="1">
      <c r="A26" s="123">
        <v>22</v>
      </c>
      <c r="B26" s="46" t="s">
        <v>157</v>
      </c>
      <c r="C26" s="10" t="s">
        <v>181</v>
      </c>
      <c r="D26" s="10" t="s">
        <v>212</v>
      </c>
      <c r="E26" s="46" t="s">
        <v>246</v>
      </c>
      <c r="F26" s="46" t="s">
        <v>252</v>
      </c>
      <c r="G26" s="46" t="s">
        <v>255</v>
      </c>
      <c r="H26" s="46" t="s">
        <v>225</v>
      </c>
      <c r="I26" s="72" t="s">
        <v>89</v>
      </c>
      <c r="J26" s="72"/>
      <c r="K26" s="72"/>
      <c r="L26" s="72"/>
      <c r="M26" s="72"/>
      <c r="N26" s="72"/>
      <c r="O26" s="85"/>
      <c r="P26" s="46"/>
      <c r="Q26" s="46"/>
      <c r="R26" s="46"/>
      <c r="S26" s="46"/>
      <c r="T26" s="46"/>
      <c r="U26" s="50"/>
      <c r="V26" s="46"/>
    </row>
    <row r="27" spans="1:22" s="27" customFormat="1">
      <c r="A27" s="123">
        <v>23</v>
      </c>
      <c r="B27" s="46" t="s">
        <v>158</v>
      </c>
      <c r="C27" s="10" t="s">
        <v>182</v>
      </c>
      <c r="D27" s="10" t="s">
        <v>213</v>
      </c>
      <c r="E27" s="46" t="s">
        <v>247</v>
      </c>
      <c r="F27" s="46" t="s">
        <v>252</v>
      </c>
      <c r="G27" s="46" t="s">
        <v>255</v>
      </c>
      <c r="H27" s="46" t="s">
        <v>225</v>
      </c>
      <c r="I27" s="72"/>
      <c r="J27" s="72"/>
      <c r="K27" s="72"/>
      <c r="L27" s="72"/>
      <c r="M27" s="72"/>
      <c r="N27" s="72"/>
      <c r="O27" s="85"/>
      <c r="P27" s="46"/>
      <c r="Q27" s="46" t="s">
        <v>89</v>
      </c>
      <c r="R27" s="46"/>
      <c r="S27" s="46"/>
      <c r="T27" s="46"/>
      <c r="U27" s="50"/>
      <c r="V27" s="46"/>
    </row>
    <row r="28" spans="1:22" s="27" customFormat="1">
      <c r="A28" s="123">
        <v>24</v>
      </c>
      <c r="B28" s="46" t="s">
        <v>159</v>
      </c>
      <c r="C28" s="10" t="s">
        <v>183</v>
      </c>
      <c r="D28" s="10" t="s">
        <v>214</v>
      </c>
      <c r="E28" s="46" t="s">
        <v>248</v>
      </c>
      <c r="F28" s="46" t="s">
        <v>224</v>
      </c>
      <c r="G28" s="46" t="s">
        <v>255</v>
      </c>
      <c r="H28" s="46" t="s">
        <v>225</v>
      </c>
      <c r="I28" s="72" t="s">
        <v>89</v>
      </c>
      <c r="J28" s="72"/>
      <c r="K28" s="72"/>
      <c r="L28" s="72"/>
      <c r="M28" s="72"/>
      <c r="N28" s="72"/>
      <c r="O28" s="85"/>
      <c r="P28" s="46"/>
      <c r="Q28" s="46"/>
      <c r="R28" s="46"/>
      <c r="S28" s="46"/>
      <c r="T28" s="46"/>
      <c r="U28" s="50"/>
      <c r="V28" s="46"/>
    </row>
    <row r="29" spans="1:22" s="27" customFormat="1">
      <c r="A29" s="123">
        <v>25</v>
      </c>
      <c r="B29" s="46"/>
      <c r="C29" s="10" t="s">
        <v>184</v>
      </c>
      <c r="D29" s="10" t="s">
        <v>215</v>
      </c>
      <c r="E29" s="46" t="s">
        <v>249</v>
      </c>
      <c r="F29" s="46" t="s">
        <v>224</v>
      </c>
      <c r="G29" s="46" t="s">
        <v>255</v>
      </c>
      <c r="H29" s="46" t="s">
        <v>225</v>
      </c>
      <c r="I29" s="72" t="s">
        <v>89</v>
      </c>
      <c r="J29" s="72"/>
      <c r="K29" s="72"/>
      <c r="L29" s="72"/>
      <c r="M29" s="72"/>
      <c r="N29" s="72"/>
      <c r="O29" s="85"/>
      <c r="P29" s="46"/>
      <c r="Q29" s="46"/>
      <c r="R29" s="46"/>
      <c r="S29" s="46"/>
      <c r="T29" s="46"/>
      <c r="U29" s="50"/>
      <c r="V29" s="46"/>
    </row>
    <row r="30" spans="1:22" s="27" customFormat="1">
      <c r="A30" s="123">
        <v>26</v>
      </c>
      <c r="B30" s="46"/>
      <c r="C30" s="10" t="s">
        <v>184</v>
      </c>
      <c r="D30" s="10" t="s">
        <v>216</v>
      </c>
      <c r="E30" s="46" t="s">
        <v>249</v>
      </c>
      <c r="F30" s="46" t="s">
        <v>224</v>
      </c>
      <c r="G30" s="46" t="s">
        <v>255</v>
      </c>
      <c r="H30" s="46" t="s">
        <v>225</v>
      </c>
      <c r="I30" s="72" t="s">
        <v>89</v>
      </c>
      <c r="J30" s="72"/>
      <c r="K30" s="72"/>
      <c r="L30" s="72"/>
      <c r="M30" s="72"/>
      <c r="N30" s="72"/>
      <c r="O30" s="85"/>
      <c r="P30" s="46"/>
      <c r="Q30" s="46"/>
      <c r="R30" s="46"/>
      <c r="S30" s="46"/>
      <c r="T30" s="46"/>
      <c r="U30" s="50"/>
      <c r="V30" s="46"/>
    </row>
    <row r="31" spans="1:22" s="27" customFormat="1">
      <c r="A31" s="123">
        <v>27</v>
      </c>
      <c r="B31" s="46" t="s">
        <v>160</v>
      </c>
      <c r="C31" s="10" t="s">
        <v>185</v>
      </c>
      <c r="D31" s="10" t="s">
        <v>217</v>
      </c>
      <c r="E31" s="46" t="s">
        <v>250</v>
      </c>
      <c r="F31" s="46" t="s">
        <v>252</v>
      </c>
      <c r="G31" s="46" t="s">
        <v>255</v>
      </c>
      <c r="H31" s="46" t="s">
        <v>225</v>
      </c>
      <c r="I31" s="72" t="s">
        <v>89</v>
      </c>
      <c r="J31" s="72"/>
      <c r="K31" s="72"/>
      <c r="L31" s="72"/>
      <c r="M31" s="72"/>
      <c r="N31" s="72"/>
      <c r="O31" s="85"/>
      <c r="P31" s="46"/>
      <c r="Q31" s="46"/>
      <c r="R31" s="46"/>
      <c r="S31" s="46"/>
      <c r="T31" s="46"/>
      <c r="U31" s="50"/>
      <c r="V31" s="46"/>
    </row>
    <row r="32" spans="1:22" s="27" customFormat="1">
      <c r="A32" s="123">
        <v>28</v>
      </c>
      <c r="B32" s="46"/>
      <c r="C32" s="10" t="s">
        <v>175</v>
      </c>
      <c r="D32" s="10" t="s">
        <v>218</v>
      </c>
      <c r="E32" s="46" t="s">
        <v>242</v>
      </c>
      <c r="F32" s="46" t="s">
        <v>224</v>
      </c>
      <c r="G32" s="46" t="s">
        <v>255</v>
      </c>
      <c r="H32" s="46" t="s">
        <v>225</v>
      </c>
      <c r="I32" s="72" t="s">
        <v>89</v>
      </c>
      <c r="J32" s="72" t="s">
        <v>89</v>
      </c>
      <c r="K32" s="72"/>
      <c r="L32" s="72"/>
      <c r="M32" s="72"/>
      <c r="N32" s="72"/>
      <c r="O32" s="85"/>
      <c r="P32" s="46"/>
      <c r="Q32" s="46" t="s">
        <v>89</v>
      </c>
      <c r="R32" s="46"/>
      <c r="S32" s="46"/>
      <c r="T32" s="46"/>
      <c r="U32" s="50"/>
      <c r="V32" s="46"/>
    </row>
    <row r="33" spans="1:22" s="27" customFormat="1">
      <c r="A33" s="123">
        <v>29</v>
      </c>
      <c r="B33" s="46" t="s">
        <v>161</v>
      </c>
      <c r="C33" s="10" t="s">
        <v>186</v>
      </c>
      <c r="D33" s="10" t="s">
        <v>219</v>
      </c>
      <c r="E33" s="46" t="s">
        <v>240</v>
      </c>
      <c r="F33" s="46" t="s">
        <v>258</v>
      </c>
      <c r="G33" s="46" t="s">
        <v>255</v>
      </c>
      <c r="H33" s="46" t="s">
        <v>225</v>
      </c>
      <c r="I33" s="72" t="s">
        <v>89</v>
      </c>
      <c r="J33" s="72"/>
      <c r="K33" s="72"/>
      <c r="L33" s="72"/>
      <c r="M33" s="72"/>
      <c r="N33" s="72"/>
      <c r="O33" s="85"/>
      <c r="P33" s="46"/>
      <c r="Q33" s="46"/>
      <c r="R33" s="46"/>
      <c r="S33" s="46"/>
      <c r="T33" s="46"/>
      <c r="U33" s="50"/>
      <c r="V33" s="46"/>
    </row>
    <row r="34" spans="1:22" s="27" customFormat="1">
      <c r="A34" s="123">
        <v>30</v>
      </c>
      <c r="B34" s="46" t="s">
        <v>162</v>
      </c>
      <c r="C34" s="10" t="s">
        <v>187</v>
      </c>
      <c r="D34" s="10" t="s">
        <v>188</v>
      </c>
      <c r="E34" s="46" t="s">
        <v>251</v>
      </c>
      <c r="F34" s="46" t="s">
        <v>260</v>
      </c>
      <c r="G34" s="46" t="s">
        <v>255</v>
      </c>
      <c r="H34" s="46" t="s">
        <v>225</v>
      </c>
      <c r="I34" s="72" t="s">
        <v>89</v>
      </c>
      <c r="J34" s="72"/>
      <c r="K34" s="72"/>
      <c r="L34" s="72"/>
      <c r="M34" s="72"/>
      <c r="N34" s="72"/>
      <c r="O34" s="85"/>
      <c r="P34" s="46"/>
      <c r="Q34" s="46"/>
      <c r="R34" s="46"/>
      <c r="S34" s="46"/>
      <c r="T34" s="46"/>
      <c r="U34" s="50"/>
      <c r="V34" s="46"/>
    </row>
    <row r="35" spans="1:22" s="27" customFormat="1">
      <c r="A35" s="123">
        <v>31</v>
      </c>
      <c r="B35" s="46"/>
      <c r="C35" s="10" t="s">
        <v>189</v>
      </c>
      <c r="D35" s="10" t="s">
        <v>220</v>
      </c>
      <c r="E35" s="46" t="s">
        <v>250</v>
      </c>
      <c r="F35" s="46" t="s">
        <v>252</v>
      </c>
      <c r="G35" s="46" t="s">
        <v>255</v>
      </c>
      <c r="H35" s="46" t="s">
        <v>225</v>
      </c>
      <c r="I35" s="72" t="s">
        <v>89</v>
      </c>
      <c r="J35" s="72"/>
      <c r="K35" s="72"/>
      <c r="L35" s="72"/>
      <c r="M35" s="72"/>
      <c r="N35" s="72"/>
      <c r="O35" s="85"/>
      <c r="P35" s="46"/>
      <c r="Q35" s="46"/>
      <c r="R35" s="46"/>
      <c r="S35" s="46"/>
      <c r="T35" s="46"/>
      <c r="U35" s="50"/>
      <c r="V35" s="46"/>
    </row>
    <row r="36" spans="1:22" s="27" customFormat="1">
      <c r="A36" s="123">
        <v>32</v>
      </c>
      <c r="B36" s="46"/>
      <c r="C36" s="10" t="s">
        <v>169</v>
      </c>
      <c r="D36" s="10" t="s">
        <v>221</v>
      </c>
      <c r="E36" s="46" t="s">
        <v>241</v>
      </c>
      <c r="F36" s="46" t="s">
        <v>252</v>
      </c>
      <c r="G36" s="46" t="s">
        <v>255</v>
      </c>
      <c r="H36" s="46" t="s">
        <v>225</v>
      </c>
      <c r="I36" s="72"/>
      <c r="J36" s="72" t="s">
        <v>89</v>
      </c>
      <c r="K36" s="72"/>
      <c r="L36" s="72"/>
      <c r="M36" s="72"/>
      <c r="N36" s="72"/>
      <c r="O36" s="85"/>
      <c r="P36" s="46"/>
      <c r="Q36" s="46"/>
      <c r="R36" s="46"/>
      <c r="S36" s="46"/>
      <c r="T36" s="46"/>
      <c r="U36" s="50"/>
      <c r="V36" s="46"/>
    </row>
    <row r="37" spans="1:22" s="27" customFormat="1">
      <c r="A37" s="123">
        <v>33</v>
      </c>
      <c r="B37" s="46"/>
      <c r="C37" s="10" t="s">
        <v>190</v>
      </c>
      <c r="D37" s="10" t="s">
        <v>222</v>
      </c>
      <c r="E37" s="46"/>
      <c r="F37" s="46"/>
      <c r="G37" s="46"/>
      <c r="H37" s="46" t="s">
        <v>234</v>
      </c>
      <c r="I37" s="72"/>
      <c r="J37" s="72" t="s">
        <v>89</v>
      </c>
      <c r="K37" s="72"/>
      <c r="L37" s="72"/>
      <c r="M37" s="72"/>
      <c r="N37" s="72"/>
      <c r="O37" s="85"/>
      <c r="P37" s="46"/>
      <c r="Q37" s="46"/>
      <c r="R37" s="46"/>
      <c r="S37" s="46"/>
      <c r="T37" s="46"/>
      <c r="U37" s="50"/>
      <c r="V37" s="46"/>
    </row>
    <row r="38" spans="1:22" s="27" customFormat="1">
      <c r="B38" s="46"/>
      <c r="C38" s="10"/>
      <c r="D38" s="10"/>
      <c r="E38" s="46"/>
      <c r="F38" s="46"/>
      <c r="G38" s="46"/>
      <c r="H38" s="46"/>
      <c r="I38" s="72"/>
      <c r="J38" s="72"/>
      <c r="K38" s="72"/>
      <c r="L38" s="72"/>
      <c r="M38" s="72"/>
      <c r="N38" s="72"/>
      <c r="O38" s="85"/>
      <c r="P38" s="46"/>
      <c r="Q38" s="46"/>
      <c r="R38" s="46"/>
      <c r="S38" s="46"/>
      <c r="T38" s="46"/>
      <c r="U38" s="50"/>
      <c r="V38" s="46"/>
    </row>
    <row r="39" spans="1:22" s="27" customFormat="1">
      <c r="B39" s="46"/>
      <c r="C39" s="10"/>
      <c r="D39" s="10"/>
      <c r="E39" s="46"/>
      <c r="F39" s="46"/>
      <c r="G39" s="46"/>
      <c r="H39" s="46"/>
      <c r="I39" s="72"/>
      <c r="J39" s="72"/>
      <c r="K39" s="72"/>
      <c r="L39" s="72"/>
      <c r="M39" s="72"/>
      <c r="N39" s="72"/>
      <c r="O39" s="85"/>
      <c r="P39" s="46"/>
      <c r="Q39" s="46"/>
      <c r="R39" s="46"/>
      <c r="S39" s="46"/>
      <c r="T39" s="46"/>
      <c r="U39" s="50"/>
      <c r="V39" s="46"/>
    </row>
    <row r="40" spans="1:22" s="27" customFormat="1" ht="13.5" thickBot="1">
      <c r="B40" s="5" t="s">
        <v>476</v>
      </c>
      <c r="C40" s="10"/>
      <c r="D40" s="10"/>
      <c r="E40" s="46"/>
      <c r="F40" s="46"/>
      <c r="G40" s="46"/>
      <c r="H40" s="46"/>
      <c r="I40" s="72"/>
      <c r="J40" s="72"/>
      <c r="K40" s="72"/>
      <c r="L40" s="72"/>
      <c r="M40" s="72"/>
      <c r="N40" s="72"/>
      <c r="O40" s="85"/>
      <c r="P40" s="46"/>
      <c r="Q40" s="46"/>
      <c r="R40" s="46"/>
      <c r="S40" s="46"/>
      <c r="T40" s="46"/>
      <c r="U40" s="50"/>
      <c r="V40" s="46"/>
    </row>
    <row r="41" spans="1:22" s="27" customFormat="1" ht="26.25" thickBot="1">
      <c r="A41" s="122" t="s">
        <v>122</v>
      </c>
      <c r="B41" s="44" t="s">
        <v>6</v>
      </c>
      <c r="C41" s="45" t="s">
        <v>7</v>
      </c>
      <c r="D41" s="45" t="s">
        <v>0</v>
      </c>
      <c r="E41" s="45" t="s">
        <v>1</v>
      </c>
      <c r="F41" s="45" t="s">
        <v>2</v>
      </c>
      <c r="G41" s="45" t="s">
        <v>3</v>
      </c>
      <c r="H41" s="45" t="s">
        <v>4</v>
      </c>
      <c r="I41" s="22" t="s">
        <v>67</v>
      </c>
      <c r="J41" s="23" t="s">
        <v>68</v>
      </c>
      <c r="K41" s="23" t="s">
        <v>69</v>
      </c>
      <c r="L41" s="23" t="s">
        <v>70</v>
      </c>
      <c r="M41" s="24" t="s">
        <v>71</v>
      </c>
      <c r="N41" s="24" t="s">
        <v>72</v>
      </c>
      <c r="O41" s="24" t="s">
        <v>73</v>
      </c>
      <c r="P41" s="92" t="s">
        <v>74</v>
      </c>
      <c r="Q41" s="92" t="s">
        <v>75</v>
      </c>
      <c r="R41" s="92" t="s">
        <v>76</v>
      </c>
      <c r="S41" s="92" t="s">
        <v>77</v>
      </c>
      <c r="T41" s="92" t="s">
        <v>78</v>
      </c>
      <c r="U41" s="95" t="s">
        <v>79</v>
      </c>
      <c r="V41" s="9" t="s">
        <v>81</v>
      </c>
    </row>
    <row r="42" spans="1:22" s="27" customFormat="1">
      <c r="A42" s="27">
        <v>1</v>
      </c>
      <c r="B42" s="46" t="s">
        <v>477</v>
      </c>
      <c r="C42" s="10"/>
      <c r="D42" s="10"/>
      <c r="E42" s="46"/>
      <c r="F42" s="46"/>
      <c r="G42" s="46" t="s">
        <v>484</v>
      </c>
      <c r="H42" s="46" t="s">
        <v>233</v>
      </c>
      <c r="I42" s="126" t="s">
        <v>89</v>
      </c>
      <c r="J42" s="72"/>
      <c r="K42" s="72"/>
      <c r="L42" s="72"/>
      <c r="M42" s="72"/>
      <c r="N42" s="72"/>
      <c r="O42" s="85"/>
      <c r="P42" s="46"/>
      <c r="Q42" s="127" t="s">
        <v>89</v>
      </c>
      <c r="R42" s="127" t="s">
        <v>89</v>
      </c>
      <c r="S42" s="46"/>
      <c r="T42" s="46"/>
      <c r="U42" s="50"/>
      <c r="V42" s="46"/>
    </row>
    <row r="43" spans="1:22" s="27" customFormat="1">
      <c r="A43" s="27">
        <v>2</v>
      </c>
      <c r="B43" s="46" t="s">
        <v>478</v>
      </c>
      <c r="C43" s="10"/>
      <c r="D43" s="10"/>
      <c r="E43" s="46"/>
      <c r="F43" s="46"/>
      <c r="G43" s="46" t="s">
        <v>484</v>
      </c>
      <c r="H43" s="46" t="s">
        <v>233</v>
      </c>
      <c r="I43" s="126" t="s">
        <v>89</v>
      </c>
      <c r="J43" s="72"/>
      <c r="K43" s="72"/>
      <c r="L43" s="72"/>
      <c r="M43" s="72"/>
      <c r="N43" s="72"/>
      <c r="O43" s="85"/>
      <c r="P43" s="46"/>
      <c r="Q43" s="127"/>
      <c r="R43" s="127" t="s">
        <v>89</v>
      </c>
      <c r="S43" s="46"/>
      <c r="T43" s="46"/>
      <c r="U43" s="50"/>
      <c r="V43" s="46"/>
    </row>
    <row r="44" spans="1:22" s="27" customFormat="1">
      <c r="A44" s="27">
        <v>3</v>
      </c>
      <c r="B44" s="46" t="s">
        <v>479</v>
      </c>
      <c r="C44" s="10"/>
      <c r="D44" s="10"/>
      <c r="E44" s="46"/>
      <c r="F44" s="46"/>
      <c r="G44" s="46" t="s">
        <v>484</v>
      </c>
      <c r="H44" s="46" t="s">
        <v>233</v>
      </c>
      <c r="I44" s="126" t="s">
        <v>89</v>
      </c>
      <c r="J44" s="72"/>
      <c r="K44" s="72"/>
      <c r="L44" s="72"/>
      <c r="M44" s="72"/>
      <c r="N44" s="72"/>
      <c r="O44" s="85"/>
      <c r="P44" s="46"/>
      <c r="Q44" s="127" t="s">
        <v>89</v>
      </c>
      <c r="R44" s="127" t="s">
        <v>89</v>
      </c>
      <c r="S44" s="46"/>
      <c r="T44" s="46"/>
      <c r="U44" s="50"/>
      <c r="V44" s="46"/>
    </row>
    <row r="45" spans="1:22" s="27" customFormat="1">
      <c r="A45" s="123">
        <v>4</v>
      </c>
      <c r="B45" s="46" t="s">
        <v>480</v>
      </c>
      <c r="C45" s="10"/>
      <c r="D45" s="10"/>
      <c r="E45" s="46"/>
      <c r="F45" s="46"/>
      <c r="G45" s="46" t="s">
        <v>484</v>
      </c>
      <c r="H45" s="46" t="s">
        <v>233</v>
      </c>
      <c r="I45" s="126" t="s">
        <v>89</v>
      </c>
      <c r="J45" s="72"/>
      <c r="K45" s="72"/>
      <c r="L45" s="72"/>
      <c r="M45" s="72"/>
      <c r="N45" s="72"/>
      <c r="O45" s="85"/>
      <c r="P45" s="46"/>
      <c r="Q45" s="127"/>
      <c r="R45" s="127" t="s">
        <v>89</v>
      </c>
      <c r="S45" s="46"/>
      <c r="T45" s="46"/>
      <c r="U45" s="50"/>
      <c r="V45" s="46"/>
    </row>
    <row r="46" spans="1:22" s="27" customFormat="1">
      <c r="A46" s="27">
        <v>5</v>
      </c>
      <c r="B46" s="46" t="s">
        <v>481</v>
      </c>
      <c r="C46" s="10"/>
      <c r="D46" s="10"/>
      <c r="E46" s="46"/>
      <c r="F46" s="46"/>
      <c r="G46" s="46" t="s">
        <v>484</v>
      </c>
      <c r="H46" s="46" t="s">
        <v>233</v>
      </c>
      <c r="I46" s="126" t="s">
        <v>89</v>
      </c>
      <c r="J46" s="72"/>
      <c r="K46" s="72"/>
      <c r="L46" s="72"/>
      <c r="M46" s="72"/>
      <c r="N46" s="72"/>
      <c r="O46" s="85"/>
      <c r="P46" s="46"/>
      <c r="Q46" s="127"/>
      <c r="R46" s="127" t="s">
        <v>89</v>
      </c>
      <c r="S46" s="46"/>
      <c r="T46" s="46"/>
      <c r="U46" s="50"/>
      <c r="V46" s="46"/>
    </row>
    <row r="47" spans="1:22" s="27" customFormat="1" ht="12.75" customHeight="1">
      <c r="A47" s="123">
        <v>6</v>
      </c>
      <c r="B47" s="46" t="s">
        <v>482</v>
      </c>
      <c r="C47" s="10"/>
      <c r="D47" s="10"/>
      <c r="E47" s="46"/>
      <c r="F47" s="46"/>
      <c r="G47" s="46" t="s">
        <v>484</v>
      </c>
      <c r="H47" s="46" t="s">
        <v>233</v>
      </c>
      <c r="I47" s="126" t="s">
        <v>89</v>
      </c>
      <c r="J47" s="72"/>
      <c r="K47" s="72"/>
      <c r="L47" s="72"/>
      <c r="M47" s="72"/>
      <c r="N47" s="72"/>
      <c r="O47" s="85"/>
      <c r="P47" s="46"/>
      <c r="Q47" s="127" t="s">
        <v>89</v>
      </c>
      <c r="R47" s="127"/>
      <c r="S47" s="46"/>
      <c r="T47" s="46"/>
      <c r="U47" s="50"/>
      <c r="V47" s="46"/>
    </row>
    <row r="48" spans="1:22" s="27" customFormat="1">
      <c r="A48" s="123">
        <v>7</v>
      </c>
      <c r="B48" s="46" t="s">
        <v>483</v>
      </c>
      <c r="C48" s="10"/>
      <c r="D48" s="10"/>
      <c r="E48" s="46"/>
      <c r="F48" s="46"/>
      <c r="G48" s="46" t="s">
        <v>484</v>
      </c>
      <c r="H48" s="46" t="s">
        <v>233</v>
      </c>
      <c r="I48" s="126" t="s">
        <v>89</v>
      </c>
      <c r="J48" s="72"/>
      <c r="K48" s="72"/>
      <c r="L48" s="72"/>
      <c r="M48" s="72"/>
      <c r="N48" s="72"/>
      <c r="O48" s="85"/>
      <c r="P48" s="46"/>
      <c r="Q48" s="127" t="s">
        <v>89</v>
      </c>
      <c r="R48" s="127"/>
      <c r="S48" s="46"/>
      <c r="T48" s="46"/>
      <c r="U48" s="50"/>
      <c r="V48" s="46"/>
    </row>
    <row r="49" spans="1:22" s="27" customFormat="1">
      <c r="A49" s="123"/>
      <c r="B49" s="46"/>
      <c r="C49" s="10"/>
      <c r="D49" s="10"/>
      <c r="E49" s="46"/>
      <c r="F49" s="46"/>
      <c r="G49" s="46"/>
      <c r="H49" s="46"/>
      <c r="I49" s="126"/>
      <c r="J49" s="72"/>
      <c r="K49" s="72"/>
      <c r="L49" s="72"/>
      <c r="M49" s="72"/>
      <c r="N49" s="72"/>
      <c r="O49" s="85"/>
      <c r="P49" s="46"/>
      <c r="Q49" s="46"/>
      <c r="R49" s="46"/>
      <c r="S49" s="46"/>
      <c r="T49" s="46"/>
      <c r="U49" s="50"/>
      <c r="V49" s="46"/>
    </row>
    <row r="50" spans="1:22" s="27" customFormat="1">
      <c r="A50" s="123"/>
      <c r="B50" s="46"/>
      <c r="C50" s="10"/>
      <c r="D50" s="10"/>
      <c r="E50" s="46"/>
      <c r="F50" s="46"/>
      <c r="G50" s="46"/>
      <c r="H50" s="46"/>
      <c r="I50" s="72"/>
      <c r="J50" s="72"/>
      <c r="K50" s="72"/>
      <c r="L50" s="72"/>
      <c r="M50" s="72"/>
      <c r="N50" s="72"/>
      <c r="O50" s="85"/>
      <c r="P50" s="46"/>
      <c r="Q50" s="46"/>
      <c r="R50" s="46"/>
      <c r="S50" s="46"/>
      <c r="T50" s="46"/>
      <c r="U50" s="50"/>
      <c r="V50" s="46"/>
    </row>
    <row r="51" spans="1:22" s="27" customFormat="1">
      <c r="B51" s="5" t="s">
        <v>19</v>
      </c>
      <c r="C51" s="4"/>
      <c r="D51" s="4"/>
      <c r="E51" s="4"/>
      <c r="F51" s="4"/>
      <c r="G51" s="4"/>
      <c r="H51" s="4"/>
      <c r="I51" s="67"/>
      <c r="J51" s="67"/>
      <c r="K51" s="67"/>
      <c r="L51" s="67"/>
      <c r="M51" s="66"/>
      <c r="N51" s="66"/>
      <c r="O51" s="86"/>
      <c r="P51" s="46"/>
      <c r="Q51" s="46"/>
      <c r="R51" s="46"/>
      <c r="S51" s="46"/>
      <c r="T51" s="46"/>
      <c r="U51" s="50"/>
      <c r="V51" s="46"/>
    </row>
    <row r="52" spans="1:22" s="27" customFormat="1">
      <c r="B52" s="46"/>
      <c r="C52" s="46"/>
      <c r="D52" s="46"/>
      <c r="E52" s="46"/>
      <c r="F52" s="46"/>
      <c r="G52" s="46"/>
      <c r="H52" s="46"/>
      <c r="I52" s="72"/>
      <c r="J52" s="72"/>
      <c r="K52" s="72"/>
      <c r="L52" s="72"/>
      <c r="M52" s="72"/>
      <c r="N52" s="72"/>
      <c r="O52" s="85"/>
      <c r="P52" s="46"/>
      <c r="Q52" s="46"/>
      <c r="R52" s="46"/>
      <c r="S52" s="46"/>
      <c r="T52" s="46"/>
      <c r="U52" s="50"/>
      <c r="V52" s="46"/>
    </row>
    <row r="53" spans="1:22" s="27" customFormat="1">
      <c r="B53" s="46"/>
      <c r="C53" s="46"/>
      <c r="D53" s="46"/>
      <c r="E53" s="46"/>
      <c r="F53" s="46"/>
      <c r="G53" s="46"/>
      <c r="H53" s="46"/>
      <c r="I53" s="72"/>
      <c r="J53" s="72"/>
      <c r="K53" s="72"/>
      <c r="L53" s="72"/>
      <c r="M53" s="72"/>
      <c r="N53" s="72"/>
      <c r="O53" s="85"/>
      <c r="P53" s="46"/>
      <c r="Q53" s="46"/>
      <c r="R53" s="46"/>
      <c r="S53" s="46"/>
      <c r="T53" s="46"/>
      <c r="U53" s="50"/>
      <c r="V53" s="46"/>
    </row>
    <row r="54" spans="1:22" s="27" customFormat="1">
      <c r="B54" s="48" t="s">
        <v>17</v>
      </c>
      <c r="C54" s="46"/>
      <c r="D54" s="46"/>
      <c r="E54" s="46"/>
      <c r="F54" s="46"/>
      <c r="G54" s="46"/>
      <c r="H54" s="46"/>
      <c r="I54" s="72"/>
      <c r="J54" s="72"/>
      <c r="K54" s="72"/>
      <c r="L54" s="72"/>
      <c r="M54" s="72"/>
      <c r="N54" s="72"/>
      <c r="O54" s="85"/>
      <c r="P54" s="46"/>
      <c r="Q54" s="46"/>
      <c r="R54" s="46"/>
      <c r="S54" s="46"/>
      <c r="T54" s="46"/>
      <c r="U54" s="50"/>
      <c r="V54" s="46"/>
    </row>
    <row r="55" spans="1:22" s="27" customFormat="1">
      <c r="B55" s="46"/>
      <c r="C55" s="10"/>
      <c r="D55" s="10"/>
      <c r="E55" s="46"/>
      <c r="F55" s="46"/>
      <c r="G55" s="46"/>
      <c r="H55" s="46"/>
      <c r="I55" s="72"/>
      <c r="J55" s="72"/>
      <c r="K55" s="72"/>
      <c r="L55" s="72"/>
      <c r="M55" s="72"/>
      <c r="N55" s="72"/>
      <c r="O55" s="85"/>
      <c r="P55" s="46"/>
      <c r="Q55" s="46"/>
      <c r="R55" s="46"/>
      <c r="S55" s="46"/>
      <c r="T55" s="46"/>
      <c r="U55" s="50"/>
      <c r="V55" s="46"/>
    </row>
    <row r="56" spans="1:22" s="27" customFormat="1">
      <c r="B56" s="46"/>
      <c r="C56" s="10"/>
      <c r="D56" s="10"/>
      <c r="E56" s="46"/>
      <c r="F56" s="46"/>
      <c r="G56" s="46"/>
      <c r="H56" s="46"/>
      <c r="I56" s="72"/>
      <c r="J56" s="72"/>
      <c r="K56" s="72"/>
      <c r="L56" s="72"/>
      <c r="M56" s="72"/>
      <c r="N56" s="72"/>
      <c r="O56" s="85"/>
      <c r="P56" s="46"/>
      <c r="Q56" s="46"/>
      <c r="R56" s="46"/>
      <c r="S56" s="46"/>
      <c r="T56" s="46"/>
      <c r="U56" s="50"/>
      <c r="V56" s="46"/>
    </row>
    <row r="57" spans="1:22" s="27" customFormat="1">
      <c r="B57" s="46"/>
      <c r="C57" s="10"/>
      <c r="D57" s="10"/>
      <c r="E57" s="46"/>
      <c r="F57" s="46"/>
      <c r="G57" s="46"/>
      <c r="H57" s="46"/>
      <c r="I57" s="72"/>
      <c r="J57" s="72"/>
      <c r="K57" s="72"/>
      <c r="L57" s="72"/>
      <c r="M57" s="72"/>
      <c r="N57" s="72"/>
      <c r="O57" s="85"/>
      <c r="P57" s="46"/>
      <c r="Q57" s="46"/>
      <c r="R57" s="46"/>
      <c r="S57" s="46"/>
      <c r="T57" s="46"/>
      <c r="U57" s="50"/>
      <c r="V57" s="46"/>
    </row>
    <row r="58" spans="1:22" s="27" customFormat="1">
      <c r="B58" s="46"/>
      <c r="C58" s="10"/>
      <c r="D58" s="10"/>
      <c r="E58" s="46"/>
      <c r="F58" s="46"/>
      <c r="G58" s="46"/>
      <c r="H58" s="46"/>
      <c r="I58" s="72"/>
      <c r="J58" s="72"/>
      <c r="K58" s="72"/>
      <c r="L58" s="72"/>
      <c r="M58" s="72"/>
      <c r="N58" s="72"/>
      <c r="O58" s="85"/>
      <c r="P58" s="46"/>
      <c r="Q58" s="46"/>
      <c r="R58" s="46"/>
      <c r="S58" s="46"/>
      <c r="T58" s="46"/>
      <c r="U58" s="50"/>
      <c r="V58" s="46"/>
    </row>
    <row r="59" spans="1:22" s="27" customFormat="1">
      <c r="B59" s="49" t="s">
        <v>19</v>
      </c>
      <c r="C59" s="18"/>
      <c r="D59" s="50"/>
      <c r="E59" s="51"/>
      <c r="F59" s="51"/>
      <c r="G59" s="51"/>
      <c r="H59" s="51"/>
      <c r="I59" s="93"/>
      <c r="J59" s="93"/>
      <c r="K59" s="93"/>
      <c r="L59" s="93"/>
      <c r="M59" s="87"/>
      <c r="N59" s="87"/>
      <c r="O59" s="87"/>
      <c r="P59" s="46"/>
      <c r="Q59" s="46"/>
      <c r="R59" s="46"/>
      <c r="S59" s="46"/>
      <c r="T59" s="46"/>
      <c r="U59" s="50"/>
      <c r="V59" s="46"/>
    </row>
    <row r="60" spans="1:22" s="27" customFormat="1">
      <c r="B60" s="18"/>
      <c r="C60" s="52"/>
      <c r="D60" s="18"/>
      <c r="E60" s="18"/>
      <c r="F60" s="18"/>
      <c r="G60" s="18"/>
      <c r="H60" s="18"/>
      <c r="I60" s="71"/>
      <c r="J60" s="71"/>
      <c r="K60" s="71"/>
      <c r="L60" s="71"/>
      <c r="M60" s="71"/>
      <c r="N60" s="71"/>
      <c r="O60" s="71"/>
      <c r="P60" s="46"/>
      <c r="Q60" s="46"/>
      <c r="R60" s="46"/>
      <c r="S60" s="46"/>
      <c r="T60" s="46"/>
      <c r="U60" s="50"/>
      <c r="V60" s="46"/>
    </row>
    <row r="61" spans="1:22" s="27" customFormat="1">
      <c r="B61" s="18"/>
      <c r="C61" s="18"/>
      <c r="D61" s="18"/>
      <c r="E61" s="18"/>
      <c r="F61" s="18"/>
      <c r="G61" s="18"/>
      <c r="H61" s="18"/>
      <c r="I61" s="71"/>
      <c r="J61" s="71"/>
      <c r="K61" s="71"/>
      <c r="L61" s="71"/>
      <c r="M61" s="71"/>
      <c r="N61" s="71"/>
      <c r="O61" s="71"/>
      <c r="P61" s="46"/>
      <c r="Q61" s="46"/>
      <c r="R61" s="46"/>
      <c r="S61" s="46"/>
      <c r="T61" s="46"/>
      <c r="U61" s="50"/>
      <c r="V61" s="46"/>
    </row>
    <row r="62" spans="1:22" s="27" customFormat="1">
      <c r="B62" s="18"/>
      <c r="C62" s="18"/>
      <c r="D62" s="18"/>
      <c r="E62" s="18"/>
      <c r="F62" s="18"/>
      <c r="G62" s="18"/>
      <c r="H62" s="18"/>
      <c r="I62" s="71"/>
      <c r="J62" s="71"/>
      <c r="K62" s="71"/>
      <c r="L62" s="71"/>
      <c r="M62" s="71"/>
      <c r="N62" s="71"/>
      <c r="O62" s="71"/>
      <c r="P62" s="46"/>
      <c r="Q62" s="46"/>
      <c r="R62" s="46"/>
      <c r="S62" s="46"/>
      <c r="T62" s="46"/>
      <c r="U62" s="50"/>
      <c r="V62" s="46"/>
    </row>
    <row r="63" spans="1:22" s="27" customFormat="1">
      <c r="B63" s="18"/>
      <c r="C63" s="18"/>
      <c r="D63" s="18"/>
      <c r="E63" s="18"/>
      <c r="F63" s="18"/>
      <c r="G63" s="18"/>
      <c r="H63" s="18"/>
      <c r="I63" s="71"/>
      <c r="J63" s="71"/>
      <c r="K63" s="71"/>
      <c r="L63" s="71"/>
      <c r="M63" s="71"/>
      <c r="N63" s="71"/>
      <c r="O63" s="71"/>
      <c r="P63" s="46"/>
      <c r="Q63" s="46"/>
      <c r="R63" s="46"/>
      <c r="S63" s="46"/>
      <c r="T63" s="46"/>
      <c r="U63" s="50"/>
      <c r="V63" s="46"/>
    </row>
    <row r="64" spans="1:22" s="27" customFormat="1">
      <c r="B64" s="18"/>
      <c r="C64" s="18"/>
      <c r="D64" s="18"/>
      <c r="E64" s="18"/>
      <c r="F64" s="18"/>
      <c r="G64" s="18"/>
      <c r="H64" s="18"/>
      <c r="I64" s="71"/>
      <c r="J64" s="71"/>
      <c r="K64" s="71"/>
      <c r="L64" s="71"/>
      <c r="M64" s="71"/>
      <c r="N64" s="71"/>
      <c r="O64" s="71"/>
      <c r="P64" s="46"/>
      <c r="Q64" s="46"/>
      <c r="R64" s="46"/>
      <c r="S64" s="46"/>
      <c r="T64" s="46"/>
      <c r="U64" s="50"/>
      <c r="V64" s="46"/>
    </row>
    <row r="65" spans="2:22" s="27" customFormat="1">
      <c r="B65" s="18"/>
      <c r="C65" s="18"/>
      <c r="D65" s="18"/>
      <c r="E65" s="18"/>
      <c r="F65" s="18"/>
      <c r="G65" s="18"/>
      <c r="H65" s="18"/>
      <c r="I65" s="71"/>
      <c r="J65" s="71"/>
      <c r="K65" s="71"/>
      <c r="L65" s="71"/>
      <c r="M65" s="71"/>
      <c r="N65" s="71"/>
      <c r="O65" s="71"/>
      <c r="P65" s="46"/>
      <c r="Q65" s="46"/>
      <c r="R65" s="46"/>
      <c r="S65" s="46"/>
      <c r="T65" s="46"/>
      <c r="U65" s="50"/>
      <c r="V65" s="46"/>
    </row>
    <row r="66" spans="2:22" s="27" customFormat="1">
      <c r="B66" s="18"/>
      <c r="C66" s="18"/>
      <c r="D66" s="18"/>
      <c r="E66" s="18"/>
      <c r="F66" s="18"/>
      <c r="G66" s="18"/>
      <c r="H66" s="18"/>
      <c r="I66" s="71"/>
      <c r="J66" s="71"/>
      <c r="K66" s="71"/>
      <c r="L66" s="71"/>
      <c r="M66" s="71"/>
      <c r="N66" s="71"/>
      <c r="O66" s="71"/>
      <c r="P66" s="46"/>
      <c r="Q66" s="46"/>
      <c r="R66" s="46"/>
      <c r="S66" s="46"/>
      <c r="T66" s="46"/>
      <c r="U66" s="50"/>
      <c r="V66" s="46"/>
    </row>
    <row r="67" spans="2:22" s="27" customFormat="1">
      <c r="B67" s="18"/>
      <c r="C67" s="18"/>
      <c r="D67" s="18"/>
      <c r="E67" s="18"/>
      <c r="F67" s="18"/>
      <c r="G67" s="18"/>
      <c r="H67" s="18"/>
      <c r="I67" s="71"/>
      <c r="J67" s="71"/>
      <c r="K67" s="71"/>
      <c r="L67" s="71"/>
      <c r="M67" s="71"/>
      <c r="N67" s="71"/>
      <c r="O67" s="71"/>
      <c r="P67" s="46"/>
      <c r="Q67" s="46"/>
      <c r="R67" s="46"/>
      <c r="S67" s="46"/>
      <c r="T67" s="46"/>
      <c r="U67" s="50"/>
      <c r="V67" s="46"/>
    </row>
    <row r="68" spans="2:22" s="27" customFormat="1">
      <c r="B68" s="18"/>
      <c r="C68" s="18"/>
      <c r="D68" s="18"/>
      <c r="E68" s="18"/>
      <c r="F68" s="18"/>
      <c r="G68" s="18"/>
      <c r="H68" s="18"/>
      <c r="I68" s="71"/>
      <c r="J68" s="71"/>
      <c r="K68" s="71"/>
      <c r="L68" s="71"/>
      <c r="M68" s="71"/>
      <c r="N68" s="71"/>
      <c r="O68" s="71"/>
      <c r="P68" s="46"/>
      <c r="Q68" s="46"/>
      <c r="R68" s="46"/>
      <c r="S68" s="46"/>
      <c r="T68" s="46"/>
      <c r="U68" s="50"/>
      <c r="V68" s="46"/>
    </row>
    <row r="69" spans="2:22" s="27" customFormat="1">
      <c r="B69" s="18"/>
      <c r="C69" s="18"/>
      <c r="D69" s="18"/>
      <c r="E69" s="18"/>
      <c r="F69" s="18"/>
      <c r="G69" s="18"/>
      <c r="H69" s="18"/>
      <c r="I69" s="71"/>
      <c r="J69" s="71"/>
      <c r="K69" s="71"/>
      <c r="L69" s="71"/>
      <c r="M69" s="71"/>
      <c r="N69" s="71"/>
      <c r="O69" s="71"/>
      <c r="P69" s="46"/>
      <c r="Q69" s="46"/>
      <c r="R69" s="46"/>
      <c r="S69" s="46"/>
      <c r="T69" s="46"/>
      <c r="U69" s="50"/>
      <c r="V69" s="46"/>
    </row>
    <row r="70" spans="2:22" s="27" customFormat="1">
      <c r="B70" s="18"/>
      <c r="C70" s="18"/>
      <c r="D70" s="18"/>
      <c r="E70" s="18"/>
      <c r="F70" s="18"/>
      <c r="G70" s="18"/>
      <c r="H70" s="18"/>
      <c r="I70" s="71"/>
      <c r="J70" s="71"/>
      <c r="K70" s="71"/>
      <c r="L70" s="71"/>
      <c r="M70" s="71"/>
      <c r="N70" s="71"/>
      <c r="O70" s="71"/>
      <c r="P70" s="46"/>
      <c r="Q70" s="46"/>
      <c r="R70" s="46"/>
      <c r="S70" s="46"/>
      <c r="T70" s="46"/>
      <c r="U70" s="50"/>
      <c r="V70" s="46"/>
    </row>
    <row r="71" spans="2:22" s="27" customFormat="1">
      <c r="B71" s="18"/>
      <c r="C71" s="18"/>
      <c r="D71" s="18"/>
      <c r="E71" s="18"/>
      <c r="F71" s="18"/>
      <c r="G71" s="18"/>
      <c r="H71" s="18"/>
      <c r="I71" s="71"/>
      <c r="J71" s="71"/>
      <c r="K71" s="71"/>
      <c r="L71" s="71"/>
      <c r="M71" s="71"/>
      <c r="N71" s="71"/>
      <c r="O71" s="71"/>
      <c r="P71" s="46"/>
      <c r="Q71" s="46"/>
      <c r="R71" s="46"/>
      <c r="S71" s="46"/>
      <c r="T71" s="46"/>
      <c r="U71" s="50"/>
      <c r="V71" s="46"/>
    </row>
    <row r="72" spans="2:22" s="27" customFormat="1">
      <c r="B72" s="18"/>
      <c r="C72" s="18"/>
      <c r="D72" s="18"/>
      <c r="E72" s="18"/>
      <c r="F72" s="18"/>
      <c r="G72" s="18"/>
      <c r="H72" s="18"/>
      <c r="I72" s="71"/>
      <c r="J72" s="71"/>
      <c r="K72" s="71"/>
      <c r="L72" s="71"/>
      <c r="M72" s="71"/>
      <c r="N72" s="71"/>
      <c r="O72" s="71"/>
      <c r="P72" s="46"/>
      <c r="Q72" s="46"/>
      <c r="R72" s="46"/>
      <c r="S72" s="46"/>
      <c r="T72" s="46"/>
      <c r="U72" s="50"/>
      <c r="V72" s="46"/>
    </row>
    <row r="73" spans="2:22" s="27" customFormat="1">
      <c r="B73" s="18"/>
      <c r="C73" s="18"/>
      <c r="D73" s="18"/>
      <c r="E73" s="18"/>
      <c r="F73" s="18"/>
      <c r="G73" s="18"/>
      <c r="H73" s="18"/>
      <c r="I73" s="71"/>
      <c r="J73" s="71"/>
      <c r="K73" s="71"/>
      <c r="L73" s="71"/>
      <c r="M73" s="71"/>
      <c r="N73" s="71"/>
      <c r="O73" s="71"/>
      <c r="P73" s="46"/>
      <c r="Q73" s="46"/>
      <c r="R73" s="46"/>
      <c r="S73" s="46"/>
      <c r="T73" s="46"/>
      <c r="U73" s="50"/>
      <c r="V73" s="46"/>
    </row>
    <row r="74" spans="2:22" s="27" customFormat="1">
      <c r="B74" s="18"/>
      <c r="C74" s="18"/>
      <c r="D74" s="18"/>
      <c r="E74" s="18"/>
      <c r="F74" s="18"/>
      <c r="G74" s="18"/>
      <c r="H74" s="18"/>
      <c r="I74" s="71"/>
      <c r="J74" s="71"/>
      <c r="K74" s="71"/>
      <c r="L74" s="71"/>
      <c r="M74" s="71"/>
      <c r="N74" s="71"/>
      <c r="O74" s="71"/>
      <c r="P74" s="46"/>
      <c r="Q74" s="46"/>
      <c r="R74" s="46"/>
      <c r="S74" s="46"/>
      <c r="T74" s="46"/>
      <c r="U74" s="50"/>
      <c r="V74" s="46"/>
    </row>
    <row r="75" spans="2:22" s="27" customFormat="1">
      <c r="B75" s="18"/>
      <c r="C75" s="18"/>
      <c r="D75" s="18"/>
      <c r="E75" s="18"/>
      <c r="F75" s="18"/>
      <c r="G75" s="18"/>
      <c r="H75" s="18"/>
      <c r="I75" s="71"/>
      <c r="J75" s="71"/>
      <c r="K75" s="71"/>
      <c r="L75" s="71"/>
      <c r="M75" s="71"/>
      <c r="N75" s="71"/>
      <c r="O75" s="71"/>
      <c r="P75" s="46"/>
      <c r="Q75" s="46"/>
      <c r="R75" s="46"/>
      <c r="S75" s="46"/>
      <c r="T75" s="46"/>
      <c r="U75" s="50"/>
      <c r="V75" s="46"/>
    </row>
    <row r="76" spans="2:22" s="27" customFormat="1">
      <c r="B76" s="18"/>
      <c r="C76" s="18"/>
      <c r="D76" s="18"/>
      <c r="E76" s="18"/>
      <c r="F76" s="18"/>
      <c r="G76" s="18"/>
      <c r="H76" s="18"/>
      <c r="I76" s="71"/>
      <c r="J76" s="71"/>
      <c r="K76" s="71"/>
      <c r="L76" s="71"/>
      <c r="M76" s="71"/>
      <c r="N76" s="71"/>
      <c r="O76" s="71"/>
      <c r="P76" s="46"/>
      <c r="Q76" s="46"/>
      <c r="R76" s="46"/>
      <c r="S76" s="46"/>
      <c r="T76" s="46"/>
      <c r="U76" s="50"/>
      <c r="V76" s="46"/>
    </row>
    <row r="77" spans="2:22" s="27" customFormat="1">
      <c r="B77" s="18"/>
      <c r="C77" s="18"/>
      <c r="D77" s="18"/>
      <c r="E77" s="18"/>
      <c r="F77" s="18"/>
      <c r="G77" s="18"/>
      <c r="H77" s="18"/>
      <c r="I77" s="71"/>
      <c r="J77" s="71"/>
      <c r="K77" s="71"/>
      <c r="L77" s="71"/>
      <c r="M77" s="71"/>
      <c r="N77" s="71"/>
      <c r="O77" s="71"/>
      <c r="P77" s="46"/>
      <c r="Q77" s="46"/>
      <c r="R77" s="46"/>
      <c r="S77" s="46"/>
      <c r="T77" s="46"/>
      <c r="U77" s="50"/>
      <c r="V77" s="46"/>
    </row>
    <row r="78" spans="2:22" s="27" customFormat="1">
      <c r="B78" s="18"/>
      <c r="C78" s="18"/>
      <c r="D78" s="18"/>
      <c r="E78" s="18"/>
      <c r="F78" s="18"/>
      <c r="G78" s="18"/>
      <c r="H78" s="18"/>
      <c r="I78" s="71"/>
      <c r="J78" s="71"/>
      <c r="K78" s="71"/>
      <c r="L78" s="71"/>
      <c r="M78" s="71"/>
      <c r="N78" s="71"/>
      <c r="O78" s="71"/>
      <c r="P78" s="46"/>
      <c r="Q78" s="46"/>
      <c r="R78" s="46"/>
      <c r="S78" s="46"/>
      <c r="T78" s="46"/>
      <c r="U78" s="50"/>
      <c r="V78" s="46"/>
    </row>
    <row r="79" spans="2:22" s="27" customFormat="1">
      <c r="B79" s="18"/>
      <c r="C79" s="18"/>
      <c r="D79" s="18"/>
      <c r="E79" s="18"/>
      <c r="F79" s="18"/>
      <c r="G79" s="18"/>
      <c r="H79" s="18"/>
      <c r="I79" s="71"/>
      <c r="J79" s="71"/>
      <c r="K79" s="71"/>
      <c r="L79" s="71"/>
      <c r="M79" s="71"/>
      <c r="N79" s="71"/>
      <c r="O79" s="71"/>
      <c r="P79" s="46"/>
      <c r="Q79" s="46"/>
      <c r="R79" s="46"/>
      <c r="S79" s="46"/>
      <c r="T79" s="46"/>
      <c r="U79" s="50"/>
      <c r="V79" s="46"/>
    </row>
    <row r="80" spans="2:22" s="27" customFormat="1">
      <c r="B80" s="18"/>
      <c r="C80" s="18"/>
      <c r="D80" s="18"/>
      <c r="E80" s="18"/>
      <c r="F80" s="18"/>
      <c r="G80" s="18"/>
      <c r="H80" s="18"/>
      <c r="I80" s="71"/>
      <c r="J80" s="71"/>
      <c r="K80" s="71"/>
      <c r="L80" s="71"/>
      <c r="M80" s="71"/>
      <c r="N80" s="71"/>
      <c r="O80" s="71"/>
      <c r="P80" s="46"/>
      <c r="Q80" s="46"/>
      <c r="R80" s="46"/>
      <c r="S80" s="46"/>
      <c r="T80" s="46"/>
      <c r="U80" s="50"/>
      <c r="V80" s="46"/>
    </row>
    <row r="81" spans="2:22" s="27" customFormat="1">
      <c r="B81" s="18"/>
      <c r="C81" s="18"/>
      <c r="D81" s="18"/>
      <c r="E81" s="18"/>
      <c r="F81" s="18"/>
      <c r="G81" s="18"/>
      <c r="H81" s="18"/>
      <c r="I81" s="71"/>
      <c r="J81" s="71"/>
      <c r="K81" s="71"/>
      <c r="L81" s="71"/>
      <c r="M81" s="71"/>
      <c r="N81" s="71"/>
      <c r="O81" s="71"/>
      <c r="P81" s="46"/>
      <c r="Q81" s="46"/>
      <c r="R81" s="46"/>
      <c r="S81" s="46"/>
      <c r="T81" s="46"/>
      <c r="U81" s="50"/>
      <c r="V81" s="46"/>
    </row>
    <row r="82" spans="2:22" s="27" customFormat="1">
      <c r="B82" s="18"/>
      <c r="C82" s="18"/>
      <c r="D82" s="18"/>
      <c r="E82" s="18"/>
      <c r="F82" s="18"/>
      <c r="G82" s="18"/>
      <c r="H82" s="18"/>
      <c r="I82" s="71"/>
      <c r="J82" s="71"/>
      <c r="K82" s="71"/>
      <c r="L82" s="71"/>
      <c r="M82" s="71"/>
      <c r="N82" s="71"/>
      <c r="O82" s="71"/>
      <c r="P82" s="46"/>
      <c r="Q82" s="46"/>
      <c r="R82" s="46"/>
      <c r="S82" s="46"/>
      <c r="T82" s="46"/>
      <c r="U82" s="50"/>
      <c r="V82" s="46"/>
    </row>
    <row r="83" spans="2:22" s="27" customFormat="1">
      <c r="B83" s="18"/>
      <c r="C83" s="18"/>
      <c r="D83" s="18"/>
      <c r="E83" s="18"/>
      <c r="F83" s="18"/>
      <c r="G83" s="18"/>
      <c r="H83" s="18"/>
      <c r="I83" s="71"/>
      <c r="J83" s="71"/>
      <c r="K83" s="71"/>
      <c r="L83" s="71"/>
      <c r="M83" s="71"/>
      <c r="N83" s="71"/>
      <c r="O83" s="71"/>
      <c r="P83" s="46"/>
      <c r="Q83" s="46"/>
      <c r="R83" s="46"/>
      <c r="S83" s="46"/>
      <c r="T83" s="46"/>
      <c r="U83" s="50"/>
      <c r="V83" s="46"/>
    </row>
    <row r="84" spans="2:22" s="27" customFormat="1">
      <c r="B84" s="18"/>
      <c r="C84" s="18"/>
      <c r="D84" s="18"/>
      <c r="E84" s="18"/>
      <c r="F84" s="18"/>
      <c r="G84" s="18"/>
      <c r="H84" s="18"/>
      <c r="I84" s="71"/>
      <c r="J84" s="71"/>
      <c r="K84" s="71"/>
      <c r="L84" s="71"/>
      <c r="M84" s="71"/>
      <c r="N84" s="71"/>
      <c r="O84" s="71"/>
      <c r="P84" s="46"/>
      <c r="Q84" s="46"/>
      <c r="R84" s="46"/>
      <c r="S84" s="46"/>
      <c r="T84" s="46"/>
      <c r="U84" s="50"/>
      <c r="V84" s="46"/>
    </row>
    <row r="85" spans="2:22" s="27" customFormat="1">
      <c r="B85" s="18"/>
      <c r="C85" s="18"/>
      <c r="D85" s="18"/>
      <c r="E85" s="18"/>
      <c r="F85" s="18"/>
      <c r="G85" s="18"/>
      <c r="H85" s="18"/>
      <c r="I85" s="71"/>
      <c r="J85" s="71"/>
      <c r="K85" s="71"/>
      <c r="L85" s="71"/>
      <c r="M85" s="71"/>
      <c r="N85" s="71"/>
      <c r="O85" s="71"/>
      <c r="P85" s="46"/>
      <c r="Q85" s="46"/>
      <c r="R85" s="46"/>
      <c r="S85" s="46"/>
      <c r="T85" s="46"/>
      <c r="U85" s="50"/>
      <c r="V85" s="46"/>
    </row>
    <row r="86" spans="2:22" s="27" customFormat="1">
      <c r="B86" s="18"/>
      <c r="C86" s="18"/>
      <c r="D86" s="18"/>
      <c r="E86" s="18"/>
      <c r="F86" s="18"/>
      <c r="G86" s="18"/>
      <c r="H86" s="18"/>
      <c r="I86" s="71"/>
      <c r="J86" s="71"/>
      <c r="K86" s="71"/>
      <c r="L86" s="71"/>
      <c r="M86" s="71"/>
      <c r="N86" s="71"/>
      <c r="O86" s="71"/>
      <c r="P86" s="46"/>
      <c r="Q86" s="46"/>
      <c r="R86" s="46"/>
      <c r="S86" s="46"/>
      <c r="T86" s="46"/>
      <c r="U86" s="50"/>
      <c r="V86" s="46"/>
    </row>
    <row r="87" spans="2:22" s="27" customFormat="1">
      <c r="B87" s="18"/>
      <c r="C87" s="18"/>
      <c r="D87" s="18"/>
      <c r="E87" s="18"/>
      <c r="F87" s="18"/>
      <c r="G87" s="18"/>
      <c r="H87" s="18"/>
      <c r="I87" s="71"/>
      <c r="J87" s="71"/>
      <c r="K87" s="71"/>
      <c r="L87" s="71"/>
      <c r="M87" s="71"/>
      <c r="N87" s="71"/>
      <c r="O87" s="71"/>
      <c r="P87" s="46"/>
      <c r="Q87" s="46"/>
      <c r="R87" s="46"/>
      <c r="S87" s="46"/>
      <c r="T87" s="46"/>
      <c r="U87" s="50"/>
      <c r="V87" s="46"/>
    </row>
    <row r="88" spans="2:22" s="27" customFormat="1">
      <c r="B88" s="18"/>
      <c r="C88" s="18"/>
      <c r="D88" s="18"/>
      <c r="E88" s="18"/>
      <c r="F88" s="18"/>
      <c r="G88" s="18"/>
      <c r="H88" s="18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50"/>
      <c r="V88" s="46"/>
    </row>
    <row r="89" spans="2:22" s="27" customFormat="1">
      <c r="B89" s="18"/>
      <c r="C89" s="18"/>
      <c r="D89" s="18"/>
      <c r="E89" s="18"/>
      <c r="F89" s="18"/>
      <c r="G89" s="18"/>
      <c r="H89" s="18"/>
      <c r="I89" s="71"/>
      <c r="J89" s="71"/>
      <c r="K89" s="71"/>
      <c r="L89" s="71"/>
      <c r="M89" s="71"/>
      <c r="N89" s="71"/>
      <c r="O89" s="71"/>
      <c r="P89" s="46"/>
      <c r="Q89" s="46"/>
      <c r="R89" s="46"/>
      <c r="S89" s="46"/>
      <c r="T89" s="46"/>
      <c r="U89" s="50"/>
      <c r="V89" s="46"/>
    </row>
    <row r="90" spans="2:22" s="27" customFormat="1">
      <c r="B90" s="18"/>
      <c r="C90" s="18"/>
      <c r="D90" s="18"/>
      <c r="E90" s="18"/>
      <c r="F90" s="18"/>
      <c r="G90" s="18"/>
      <c r="H90" s="18"/>
      <c r="I90" s="71"/>
      <c r="J90" s="71"/>
      <c r="K90" s="71"/>
      <c r="L90" s="71"/>
      <c r="M90" s="71"/>
      <c r="N90" s="71"/>
      <c r="O90" s="71"/>
      <c r="P90" s="46"/>
      <c r="Q90" s="46"/>
      <c r="R90" s="46"/>
      <c r="S90" s="46"/>
      <c r="T90" s="46"/>
      <c r="U90" s="50"/>
      <c r="V90" s="46"/>
    </row>
    <row r="91" spans="2:22" s="27" customFormat="1">
      <c r="B91" s="18"/>
      <c r="C91" s="18"/>
      <c r="D91" s="18"/>
      <c r="E91" s="18"/>
      <c r="F91" s="18"/>
      <c r="G91" s="18"/>
      <c r="H91" s="18"/>
      <c r="I91" s="71"/>
      <c r="J91" s="71"/>
      <c r="K91" s="71"/>
      <c r="L91" s="71"/>
      <c r="M91" s="71"/>
      <c r="N91" s="71"/>
      <c r="O91" s="71"/>
      <c r="P91" s="46"/>
      <c r="Q91" s="46"/>
      <c r="R91" s="46"/>
      <c r="S91" s="46"/>
      <c r="T91" s="46"/>
      <c r="U91" s="50"/>
      <c r="V91" s="46"/>
    </row>
    <row r="92" spans="2:22" s="27" customFormat="1">
      <c r="B92" s="18"/>
      <c r="C92" s="18"/>
      <c r="D92" s="18"/>
      <c r="E92" s="18"/>
      <c r="F92" s="18"/>
      <c r="G92" s="18"/>
      <c r="H92" s="18"/>
      <c r="I92" s="71"/>
      <c r="J92" s="71"/>
      <c r="K92" s="71"/>
      <c r="L92" s="71"/>
      <c r="M92" s="71"/>
      <c r="N92" s="71"/>
      <c r="O92" s="71"/>
      <c r="P92" s="46"/>
      <c r="Q92" s="46"/>
      <c r="R92" s="46"/>
      <c r="S92" s="46"/>
      <c r="T92" s="46"/>
      <c r="U92" s="50"/>
      <c r="V92" s="46"/>
    </row>
    <row r="93" spans="2:22" s="27" customFormat="1">
      <c r="B93" s="18"/>
      <c r="C93" s="18"/>
      <c r="D93" s="18"/>
      <c r="E93" s="18"/>
      <c r="F93" s="18"/>
      <c r="G93" s="18"/>
      <c r="H93" s="18"/>
      <c r="I93" s="71"/>
      <c r="J93" s="71"/>
      <c r="K93" s="71"/>
      <c r="L93" s="71"/>
      <c r="M93" s="71"/>
      <c r="N93" s="71"/>
      <c r="O93" s="71"/>
      <c r="P93" s="46"/>
      <c r="Q93" s="46"/>
      <c r="R93" s="46"/>
      <c r="S93" s="46"/>
      <c r="T93" s="46"/>
      <c r="U93" s="50"/>
      <c r="V93" s="46"/>
    </row>
    <row r="94" spans="2:22" s="27" customFormat="1">
      <c r="B94" s="18"/>
      <c r="C94" s="18"/>
      <c r="D94" s="18"/>
      <c r="E94" s="18"/>
      <c r="F94" s="18"/>
      <c r="G94" s="18"/>
      <c r="H94" s="18"/>
      <c r="I94" s="71"/>
      <c r="J94" s="71"/>
      <c r="K94" s="71"/>
      <c r="L94" s="71"/>
      <c r="M94" s="71"/>
      <c r="N94" s="71"/>
      <c r="O94" s="71"/>
      <c r="P94" s="46"/>
      <c r="Q94" s="46"/>
      <c r="R94" s="46"/>
      <c r="S94" s="46"/>
      <c r="T94" s="46"/>
      <c r="U94" s="50"/>
      <c r="V94" s="46"/>
    </row>
    <row r="95" spans="2:22" s="27" customFormat="1">
      <c r="B95" s="18"/>
      <c r="C95" s="18"/>
      <c r="D95" s="18"/>
      <c r="E95" s="18"/>
      <c r="F95" s="18"/>
      <c r="G95" s="18"/>
      <c r="H95" s="18"/>
      <c r="I95" s="71"/>
      <c r="J95" s="71"/>
      <c r="K95" s="71"/>
      <c r="L95" s="71"/>
      <c r="M95" s="71"/>
      <c r="N95" s="71"/>
      <c r="O95" s="71"/>
      <c r="P95" s="46"/>
      <c r="Q95" s="46"/>
      <c r="R95" s="46"/>
      <c r="S95" s="46"/>
      <c r="T95" s="46"/>
      <c r="U95" s="50"/>
      <c r="V95" s="46"/>
    </row>
    <row r="96" spans="2:22" s="27" customFormat="1">
      <c r="B96" s="18"/>
      <c r="C96" s="18"/>
      <c r="D96" s="18"/>
      <c r="E96" s="18"/>
      <c r="F96" s="18"/>
      <c r="G96" s="18"/>
      <c r="H96" s="18"/>
      <c r="I96" s="71"/>
      <c r="J96" s="71"/>
      <c r="K96" s="71"/>
      <c r="L96" s="71"/>
      <c r="M96" s="71"/>
      <c r="N96" s="71"/>
      <c r="O96" s="71"/>
      <c r="P96" s="46"/>
      <c r="Q96" s="46"/>
      <c r="R96" s="46"/>
      <c r="S96" s="46"/>
      <c r="T96" s="46"/>
      <c r="U96" s="50"/>
      <c r="V96" s="46"/>
    </row>
    <row r="97" spans="2:22" s="27" customFormat="1">
      <c r="B97" s="18"/>
      <c r="C97" s="18"/>
      <c r="D97" s="18"/>
      <c r="E97" s="18"/>
      <c r="F97" s="18"/>
      <c r="G97" s="18"/>
      <c r="H97" s="18"/>
      <c r="I97" s="71"/>
      <c r="J97" s="71"/>
      <c r="K97" s="71"/>
      <c r="L97" s="71"/>
      <c r="M97" s="71"/>
      <c r="N97" s="71"/>
      <c r="O97" s="71"/>
      <c r="P97" s="46"/>
      <c r="Q97" s="46"/>
      <c r="R97" s="46"/>
      <c r="S97" s="46"/>
      <c r="T97" s="46"/>
      <c r="U97" s="50"/>
      <c r="V97" s="46"/>
    </row>
    <row r="98" spans="2:22" s="27" customFormat="1">
      <c r="B98" s="18"/>
      <c r="C98" s="18"/>
      <c r="D98" s="18"/>
      <c r="E98" s="18"/>
      <c r="F98" s="18"/>
      <c r="G98" s="18"/>
      <c r="H98" s="18"/>
      <c r="I98" s="71"/>
      <c r="J98" s="71"/>
      <c r="K98" s="71"/>
      <c r="L98" s="71"/>
      <c r="M98" s="71"/>
      <c r="N98" s="71"/>
      <c r="O98" s="71"/>
      <c r="P98" s="46"/>
      <c r="Q98" s="46"/>
      <c r="R98" s="46"/>
      <c r="S98" s="46"/>
      <c r="T98" s="46"/>
      <c r="U98" s="50"/>
      <c r="V98" s="46"/>
    </row>
    <row r="99" spans="2:22" s="27" customFormat="1">
      <c r="B99" s="18"/>
      <c r="C99" s="18"/>
      <c r="D99" s="18"/>
      <c r="E99" s="18"/>
      <c r="F99" s="18"/>
      <c r="G99" s="18"/>
      <c r="H99" s="18"/>
      <c r="I99" s="71"/>
      <c r="J99" s="71"/>
      <c r="K99" s="71"/>
      <c r="L99" s="71"/>
      <c r="M99" s="71"/>
      <c r="N99" s="71"/>
      <c r="O99" s="71"/>
      <c r="P99" s="46"/>
      <c r="Q99" s="46"/>
      <c r="R99" s="46"/>
      <c r="S99" s="46"/>
      <c r="T99" s="46"/>
      <c r="U99" s="50"/>
      <c r="V99" s="46"/>
    </row>
    <row r="100" spans="2:22" s="27" customFormat="1">
      <c r="B100" s="18"/>
      <c r="C100" s="18"/>
      <c r="D100" s="18"/>
      <c r="E100" s="18"/>
      <c r="F100" s="18"/>
      <c r="G100" s="18"/>
      <c r="H100" s="18"/>
      <c r="I100" s="71"/>
      <c r="J100" s="71"/>
      <c r="K100" s="71"/>
      <c r="L100" s="71"/>
      <c r="M100" s="71"/>
      <c r="N100" s="71"/>
      <c r="O100" s="71"/>
      <c r="P100" s="46"/>
      <c r="Q100" s="46"/>
      <c r="R100" s="46"/>
      <c r="S100" s="46"/>
      <c r="T100" s="46"/>
      <c r="U100" s="50"/>
      <c r="V100" s="46"/>
    </row>
    <row r="101" spans="2:22" s="27" customFormat="1">
      <c r="B101" s="18"/>
      <c r="C101" s="18"/>
      <c r="D101" s="18"/>
      <c r="E101" s="18"/>
      <c r="F101" s="18"/>
      <c r="G101" s="18"/>
      <c r="H101" s="18"/>
      <c r="I101" s="71"/>
      <c r="J101" s="71"/>
      <c r="K101" s="71"/>
      <c r="L101" s="71"/>
      <c r="M101" s="71"/>
      <c r="N101" s="71"/>
      <c r="O101" s="71"/>
      <c r="P101" s="46"/>
      <c r="Q101" s="46"/>
      <c r="R101" s="46"/>
      <c r="S101" s="46"/>
      <c r="T101" s="46"/>
      <c r="U101" s="50"/>
      <c r="V101" s="46"/>
    </row>
    <row r="102" spans="2:22" s="27" customFormat="1">
      <c r="B102" s="18"/>
      <c r="C102" s="18"/>
      <c r="D102" s="18"/>
      <c r="E102" s="18"/>
      <c r="F102" s="18"/>
      <c r="G102" s="18"/>
      <c r="H102" s="18"/>
      <c r="I102" s="71"/>
      <c r="J102" s="71"/>
      <c r="K102" s="71"/>
      <c r="L102" s="71"/>
      <c r="M102" s="71"/>
      <c r="N102" s="71"/>
      <c r="O102" s="71"/>
      <c r="P102" s="46"/>
      <c r="Q102" s="46"/>
      <c r="R102" s="46"/>
      <c r="S102" s="46"/>
      <c r="T102" s="46"/>
      <c r="U102" s="50"/>
      <c r="V102" s="46"/>
    </row>
    <row r="103" spans="2:22" s="27" customFormat="1">
      <c r="B103" s="18"/>
      <c r="C103" s="18"/>
      <c r="D103" s="18"/>
      <c r="E103" s="18"/>
      <c r="F103" s="18"/>
      <c r="G103" s="18"/>
      <c r="H103" s="18"/>
      <c r="I103" s="71"/>
      <c r="J103" s="71"/>
      <c r="K103" s="71"/>
      <c r="L103" s="71"/>
      <c r="M103" s="71"/>
      <c r="N103" s="71"/>
      <c r="O103" s="71"/>
      <c r="P103" s="46"/>
      <c r="Q103" s="46"/>
      <c r="R103" s="46"/>
      <c r="S103" s="46"/>
      <c r="T103" s="46"/>
      <c r="U103" s="50"/>
      <c r="V103" s="46"/>
    </row>
    <row r="104" spans="2:22" s="27" customFormat="1">
      <c r="B104" s="18"/>
      <c r="C104" s="18"/>
      <c r="D104" s="18"/>
      <c r="E104" s="18"/>
      <c r="F104" s="18"/>
      <c r="G104" s="18"/>
      <c r="H104" s="18"/>
      <c r="I104" s="71"/>
      <c r="J104" s="71"/>
      <c r="K104" s="71"/>
      <c r="L104" s="71"/>
      <c r="M104" s="71"/>
      <c r="N104" s="71"/>
      <c r="O104" s="71"/>
      <c r="P104" s="46"/>
      <c r="Q104" s="46"/>
      <c r="R104" s="46"/>
      <c r="S104" s="46"/>
      <c r="T104" s="46"/>
      <c r="U104" s="50"/>
      <c r="V104" s="46"/>
    </row>
    <row r="105" spans="2:22" s="27" customFormat="1">
      <c r="B105" s="18"/>
      <c r="C105" s="18"/>
      <c r="D105" s="18"/>
      <c r="E105" s="18"/>
      <c r="F105" s="18"/>
      <c r="G105" s="18"/>
      <c r="H105" s="18"/>
      <c r="I105" s="71"/>
      <c r="J105" s="71"/>
      <c r="K105" s="71"/>
      <c r="L105" s="71"/>
      <c r="M105" s="71"/>
      <c r="N105" s="71"/>
      <c r="O105" s="71"/>
      <c r="P105" s="46"/>
      <c r="Q105" s="46"/>
      <c r="R105" s="46"/>
      <c r="S105" s="46"/>
      <c r="T105" s="46"/>
      <c r="U105" s="50"/>
      <c r="V105" s="46"/>
    </row>
    <row r="106" spans="2:22" s="27" customFormat="1">
      <c r="B106" s="18"/>
      <c r="C106" s="18"/>
      <c r="D106" s="18"/>
      <c r="E106" s="18"/>
      <c r="F106" s="18"/>
      <c r="G106" s="18"/>
      <c r="H106" s="18"/>
      <c r="I106" s="71"/>
      <c r="J106" s="71"/>
      <c r="K106" s="71"/>
      <c r="L106" s="71"/>
      <c r="M106" s="71"/>
      <c r="N106" s="71"/>
      <c r="O106" s="71"/>
      <c r="P106" s="46"/>
      <c r="Q106" s="46"/>
      <c r="R106" s="46"/>
      <c r="S106" s="46"/>
      <c r="T106" s="46"/>
      <c r="U106" s="50"/>
      <c r="V106" s="46"/>
    </row>
    <row r="107" spans="2:22" s="27" customFormat="1">
      <c r="B107" s="18"/>
      <c r="C107" s="18"/>
      <c r="D107" s="18"/>
      <c r="E107" s="18"/>
      <c r="F107" s="18"/>
      <c r="G107" s="18"/>
      <c r="H107" s="18"/>
      <c r="I107" s="71"/>
      <c r="J107" s="71"/>
      <c r="K107" s="71"/>
      <c r="L107" s="71"/>
      <c r="M107" s="71"/>
      <c r="N107" s="71"/>
      <c r="O107" s="71"/>
      <c r="P107" s="46"/>
      <c r="Q107" s="46"/>
      <c r="R107" s="46"/>
      <c r="S107" s="46"/>
      <c r="T107" s="46"/>
      <c r="U107" s="50"/>
      <c r="V107" s="46"/>
    </row>
    <row r="108" spans="2:22" s="27" customFormat="1">
      <c r="B108" s="18"/>
      <c r="C108" s="18"/>
      <c r="D108" s="18"/>
      <c r="E108" s="18"/>
      <c r="F108" s="18"/>
      <c r="G108" s="18"/>
      <c r="H108" s="18"/>
      <c r="I108" s="71"/>
      <c r="J108" s="71"/>
      <c r="K108" s="71"/>
      <c r="L108" s="71"/>
      <c r="M108" s="71"/>
      <c r="N108" s="71"/>
      <c r="O108" s="71"/>
      <c r="P108" s="46"/>
      <c r="Q108" s="46"/>
      <c r="R108" s="46"/>
      <c r="S108" s="46"/>
      <c r="T108" s="46"/>
      <c r="U108" s="50"/>
      <c r="V108" s="46"/>
    </row>
    <row r="109" spans="2:22" s="27" customFormat="1">
      <c r="B109" s="18"/>
      <c r="C109" s="18"/>
      <c r="D109" s="18"/>
      <c r="E109" s="18"/>
      <c r="F109" s="18"/>
      <c r="G109" s="18"/>
      <c r="H109" s="18"/>
      <c r="I109" s="71"/>
      <c r="J109" s="71"/>
      <c r="K109" s="71"/>
      <c r="L109" s="71"/>
      <c r="M109" s="71"/>
      <c r="N109" s="71"/>
      <c r="O109" s="71"/>
      <c r="P109" s="46"/>
      <c r="Q109" s="46"/>
      <c r="R109" s="46"/>
      <c r="S109" s="46"/>
      <c r="T109" s="46"/>
      <c r="U109" s="50"/>
      <c r="V109" s="46"/>
    </row>
    <row r="110" spans="2:22" s="27" customFormat="1">
      <c r="B110" s="18"/>
      <c r="C110" s="18"/>
      <c r="D110" s="18"/>
      <c r="E110" s="18"/>
      <c r="F110" s="18"/>
      <c r="G110" s="18"/>
      <c r="H110" s="18"/>
      <c r="I110" s="71"/>
      <c r="J110" s="71"/>
      <c r="K110" s="71"/>
      <c r="L110" s="71"/>
      <c r="M110" s="71"/>
      <c r="N110" s="71"/>
      <c r="O110" s="71"/>
      <c r="P110" s="46"/>
      <c r="Q110" s="46"/>
      <c r="R110" s="46"/>
      <c r="S110" s="46"/>
      <c r="T110" s="46"/>
      <c r="U110" s="50"/>
      <c r="V110" s="46"/>
    </row>
    <row r="111" spans="2:22" s="27" customFormat="1">
      <c r="B111" s="18"/>
      <c r="C111" s="18"/>
      <c r="D111" s="18"/>
      <c r="E111" s="18"/>
      <c r="F111" s="18"/>
      <c r="G111" s="18"/>
      <c r="H111" s="18"/>
      <c r="I111" s="71"/>
      <c r="J111" s="71"/>
      <c r="K111" s="71"/>
      <c r="L111" s="71"/>
      <c r="M111" s="71"/>
      <c r="N111" s="71"/>
      <c r="O111" s="71"/>
      <c r="P111" s="46"/>
      <c r="Q111" s="46"/>
      <c r="R111" s="46"/>
      <c r="S111" s="46"/>
      <c r="T111" s="46"/>
      <c r="U111" s="50"/>
      <c r="V111" s="46"/>
    </row>
    <row r="112" spans="2:22" s="27" customFormat="1">
      <c r="B112" s="18"/>
      <c r="C112" s="18"/>
      <c r="D112" s="18"/>
      <c r="E112" s="18"/>
      <c r="F112" s="18"/>
      <c r="G112" s="18"/>
      <c r="H112" s="18"/>
      <c r="I112" s="71"/>
      <c r="J112" s="71"/>
      <c r="K112" s="71"/>
      <c r="L112" s="71"/>
      <c r="M112" s="71"/>
      <c r="N112" s="71"/>
      <c r="O112" s="71"/>
      <c r="P112" s="46"/>
      <c r="Q112" s="46"/>
      <c r="R112" s="46"/>
      <c r="S112" s="46"/>
      <c r="T112" s="46"/>
      <c r="U112" s="50"/>
      <c r="V112" s="46"/>
    </row>
    <row r="113" spans="2:22" s="27" customFormat="1">
      <c r="B113" s="18"/>
      <c r="C113" s="18"/>
      <c r="D113" s="18"/>
      <c r="E113" s="18"/>
      <c r="F113" s="18"/>
      <c r="G113" s="18"/>
      <c r="H113" s="18"/>
      <c r="I113" s="71"/>
      <c r="J113" s="71"/>
      <c r="K113" s="71"/>
      <c r="L113" s="71"/>
      <c r="M113" s="71"/>
      <c r="N113" s="71"/>
      <c r="O113" s="71"/>
      <c r="P113" s="46"/>
      <c r="Q113" s="46"/>
      <c r="R113" s="46"/>
      <c r="S113" s="46"/>
      <c r="T113" s="46"/>
      <c r="U113" s="50"/>
      <c r="V113" s="46"/>
    </row>
    <row r="114" spans="2:22" s="27" customFormat="1">
      <c r="B114" s="18"/>
      <c r="C114" s="18"/>
      <c r="D114" s="18"/>
      <c r="E114" s="18"/>
      <c r="F114" s="18"/>
      <c r="G114" s="18"/>
      <c r="H114" s="18"/>
      <c r="I114" s="71"/>
      <c r="J114" s="71"/>
      <c r="K114" s="71"/>
      <c r="L114" s="71"/>
      <c r="M114" s="71"/>
      <c r="N114" s="71"/>
      <c r="O114" s="71"/>
      <c r="P114" s="46"/>
      <c r="Q114" s="46"/>
      <c r="R114" s="46"/>
      <c r="S114" s="46"/>
      <c r="T114" s="46"/>
      <c r="U114" s="50"/>
      <c r="V114" s="46"/>
    </row>
    <row r="115" spans="2:22" s="27" customFormat="1">
      <c r="B115" s="18"/>
      <c r="C115" s="18"/>
      <c r="D115" s="18"/>
      <c r="E115" s="18"/>
      <c r="F115" s="18"/>
      <c r="G115" s="18"/>
      <c r="H115" s="18"/>
      <c r="I115" s="71"/>
      <c r="J115" s="71"/>
      <c r="K115" s="71"/>
      <c r="L115" s="71"/>
      <c r="M115" s="71"/>
      <c r="N115" s="71"/>
      <c r="O115" s="71"/>
      <c r="P115" s="46"/>
      <c r="Q115" s="46"/>
      <c r="R115" s="46"/>
      <c r="S115" s="46"/>
      <c r="T115" s="46"/>
      <c r="U115" s="50"/>
      <c r="V115" s="46"/>
    </row>
    <row r="116" spans="2:22" s="27" customFormat="1">
      <c r="B116" s="18"/>
      <c r="C116" s="18"/>
      <c r="D116" s="18"/>
      <c r="E116" s="18"/>
      <c r="F116" s="18"/>
      <c r="G116" s="18"/>
      <c r="H116" s="18"/>
      <c r="I116" s="71"/>
      <c r="J116" s="71"/>
      <c r="K116" s="71"/>
      <c r="L116" s="71"/>
      <c r="M116" s="71"/>
      <c r="N116" s="71"/>
      <c r="O116" s="71"/>
      <c r="P116" s="46"/>
      <c r="Q116" s="46"/>
      <c r="R116" s="46"/>
      <c r="S116" s="46"/>
      <c r="T116" s="46"/>
      <c r="U116" s="50"/>
      <c r="V116" s="46"/>
    </row>
    <row r="117" spans="2:22" s="27" customFormat="1">
      <c r="B117" s="18"/>
      <c r="C117" s="18"/>
      <c r="D117" s="18"/>
      <c r="E117" s="18"/>
      <c r="F117" s="18"/>
      <c r="G117" s="18"/>
      <c r="H117" s="18"/>
      <c r="I117" s="71"/>
      <c r="J117" s="71"/>
      <c r="K117" s="71"/>
      <c r="L117" s="71"/>
      <c r="M117" s="71"/>
      <c r="N117" s="71"/>
      <c r="O117" s="71"/>
      <c r="P117" s="46"/>
      <c r="Q117" s="46"/>
      <c r="R117" s="46"/>
      <c r="S117" s="46"/>
      <c r="T117" s="46"/>
      <c r="U117" s="50"/>
      <c r="V117" s="46"/>
    </row>
    <row r="118" spans="2:22" s="27" customFormat="1">
      <c r="B118" s="18"/>
      <c r="C118" s="18"/>
      <c r="D118" s="18"/>
      <c r="E118" s="18"/>
      <c r="F118" s="18"/>
      <c r="G118" s="18"/>
      <c r="H118" s="18"/>
      <c r="I118" s="71"/>
      <c r="J118" s="71"/>
      <c r="K118" s="71"/>
      <c r="L118" s="71"/>
      <c r="M118" s="71"/>
      <c r="N118" s="71"/>
      <c r="O118" s="71"/>
      <c r="P118" s="46"/>
      <c r="Q118" s="46"/>
      <c r="R118" s="46"/>
      <c r="S118" s="46"/>
      <c r="T118" s="46"/>
      <c r="U118" s="50"/>
      <c r="V118" s="46"/>
    </row>
    <row r="119" spans="2:22" s="27" customFormat="1">
      <c r="B119" s="18"/>
      <c r="C119" s="18"/>
      <c r="D119" s="18"/>
      <c r="E119" s="18"/>
      <c r="F119" s="18"/>
      <c r="G119" s="18"/>
      <c r="H119" s="18"/>
      <c r="I119" s="71"/>
      <c r="J119" s="71"/>
      <c r="K119" s="71"/>
      <c r="L119" s="71"/>
      <c r="M119" s="71"/>
      <c r="N119" s="71"/>
      <c r="O119" s="71"/>
      <c r="P119" s="46"/>
      <c r="Q119" s="46"/>
      <c r="R119" s="46"/>
      <c r="S119" s="46"/>
      <c r="T119" s="46"/>
      <c r="U119" s="50"/>
      <c r="V119" s="46"/>
    </row>
    <row r="120" spans="2:22" s="27" customFormat="1">
      <c r="B120" s="18"/>
      <c r="C120" s="18"/>
      <c r="D120" s="18"/>
      <c r="E120" s="18"/>
      <c r="F120" s="18"/>
      <c r="G120" s="18"/>
      <c r="H120" s="18"/>
      <c r="I120" s="71"/>
      <c r="J120" s="71"/>
      <c r="K120" s="71"/>
      <c r="L120" s="71"/>
      <c r="M120" s="71"/>
      <c r="N120" s="71"/>
      <c r="O120" s="71"/>
      <c r="P120" s="46"/>
      <c r="Q120" s="46"/>
      <c r="R120" s="46"/>
      <c r="S120" s="46"/>
      <c r="T120" s="46"/>
      <c r="U120" s="50"/>
      <c r="V120" s="46"/>
    </row>
    <row r="121" spans="2:22" s="27" customFormat="1">
      <c r="B121" s="18"/>
      <c r="C121" s="18"/>
      <c r="D121" s="18"/>
      <c r="E121" s="18"/>
      <c r="F121" s="18"/>
      <c r="G121" s="18"/>
      <c r="H121" s="18"/>
      <c r="I121" s="71"/>
      <c r="J121" s="71"/>
      <c r="K121" s="71"/>
      <c r="L121" s="71"/>
      <c r="M121" s="71"/>
      <c r="N121" s="71"/>
      <c r="O121" s="71"/>
      <c r="P121" s="46"/>
      <c r="Q121" s="46"/>
      <c r="R121" s="46"/>
      <c r="S121" s="46"/>
      <c r="T121" s="46"/>
      <c r="U121" s="50"/>
      <c r="V121" s="46"/>
    </row>
    <row r="122" spans="2:22" s="27" customFormat="1">
      <c r="B122" s="18"/>
      <c r="C122" s="18"/>
      <c r="D122" s="18"/>
      <c r="E122" s="18"/>
      <c r="F122" s="18"/>
      <c r="G122" s="18"/>
      <c r="H122" s="18"/>
      <c r="I122" s="71"/>
      <c r="J122" s="71"/>
      <c r="K122" s="71"/>
      <c r="L122" s="71"/>
      <c r="M122" s="71"/>
      <c r="N122" s="71"/>
      <c r="O122" s="71"/>
      <c r="P122" s="46"/>
      <c r="Q122" s="46"/>
      <c r="R122" s="46"/>
      <c r="S122" s="46"/>
      <c r="T122" s="46"/>
      <c r="U122" s="50"/>
      <c r="V122" s="46"/>
    </row>
    <row r="123" spans="2:22" s="27" customFormat="1">
      <c r="B123" s="18"/>
      <c r="C123" s="18"/>
      <c r="D123" s="18"/>
      <c r="E123" s="18"/>
      <c r="F123" s="18"/>
      <c r="G123" s="18"/>
      <c r="H123" s="18"/>
      <c r="I123" s="71"/>
      <c r="J123" s="71"/>
      <c r="K123" s="71"/>
      <c r="L123" s="71"/>
      <c r="M123" s="71"/>
      <c r="N123" s="71"/>
      <c r="O123" s="71"/>
      <c r="P123" s="46"/>
      <c r="Q123" s="46"/>
      <c r="R123" s="46"/>
      <c r="S123" s="46"/>
      <c r="T123" s="46"/>
      <c r="U123" s="50"/>
      <c r="V123" s="46"/>
    </row>
    <row r="124" spans="2:22" s="27" customFormat="1">
      <c r="B124" s="18"/>
      <c r="C124" s="18"/>
      <c r="D124" s="18"/>
      <c r="E124" s="18"/>
      <c r="F124" s="18"/>
      <c r="G124" s="18"/>
      <c r="H124" s="18"/>
      <c r="I124" s="71"/>
      <c r="J124" s="71"/>
      <c r="K124" s="71"/>
      <c r="L124" s="71"/>
      <c r="M124" s="71"/>
      <c r="N124" s="71"/>
      <c r="O124" s="71"/>
      <c r="P124" s="46"/>
      <c r="Q124" s="46"/>
      <c r="R124" s="46"/>
      <c r="S124" s="46"/>
      <c r="T124" s="46"/>
      <c r="U124" s="50"/>
      <c r="V124" s="46"/>
    </row>
    <row r="125" spans="2:22" s="27" customFormat="1">
      <c r="B125" s="18"/>
      <c r="C125" s="18"/>
      <c r="D125" s="18"/>
      <c r="E125" s="18"/>
      <c r="F125" s="18"/>
      <c r="G125" s="18"/>
      <c r="H125" s="18"/>
      <c r="I125" s="71"/>
      <c r="J125" s="71"/>
      <c r="K125" s="71"/>
      <c r="L125" s="71"/>
      <c r="M125" s="71"/>
      <c r="N125" s="71"/>
      <c r="O125" s="71"/>
      <c r="P125" s="46"/>
      <c r="Q125" s="46"/>
      <c r="R125" s="46"/>
      <c r="S125" s="46"/>
      <c r="T125" s="46"/>
      <c r="U125" s="50"/>
      <c r="V125" s="46"/>
    </row>
    <row r="126" spans="2:22" s="27" customFormat="1">
      <c r="B126" s="18"/>
      <c r="C126" s="18"/>
      <c r="D126" s="18"/>
      <c r="E126" s="18"/>
      <c r="F126" s="18"/>
      <c r="G126" s="18"/>
      <c r="H126" s="18"/>
      <c r="I126" s="71"/>
      <c r="J126" s="71"/>
      <c r="K126" s="71"/>
      <c r="L126" s="71"/>
      <c r="M126" s="71"/>
      <c r="N126" s="71"/>
      <c r="O126" s="71"/>
      <c r="P126" s="46"/>
      <c r="Q126" s="46"/>
      <c r="R126" s="46"/>
      <c r="S126" s="46"/>
      <c r="T126" s="46"/>
      <c r="U126" s="50"/>
      <c r="V126" s="46"/>
    </row>
    <row r="127" spans="2:22" s="27" customFormat="1">
      <c r="B127" s="18"/>
      <c r="C127" s="18"/>
      <c r="D127" s="18"/>
      <c r="E127" s="18"/>
      <c r="F127" s="18"/>
      <c r="G127" s="18"/>
      <c r="H127" s="18"/>
      <c r="I127" s="71"/>
      <c r="J127" s="71"/>
      <c r="K127" s="71"/>
      <c r="L127" s="71"/>
      <c r="M127" s="71"/>
      <c r="N127" s="71"/>
      <c r="O127" s="71"/>
      <c r="P127" s="46"/>
      <c r="Q127" s="46"/>
      <c r="R127" s="46"/>
      <c r="S127" s="46"/>
      <c r="T127" s="46"/>
      <c r="U127" s="50"/>
      <c r="V127" s="46"/>
    </row>
    <row r="128" spans="2:22" s="27" customFormat="1">
      <c r="B128" s="18"/>
      <c r="C128" s="18"/>
      <c r="D128" s="18"/>
      <c r="E128" s="18"/>
      <c r="F128" s="18"/>
      <c r="G128" s="18"/>
      <c r="H128" s="18"/>
      <c r="I128" s="71"/>
      <c r="J128" s="71"/>
      <c r="K128" s="71"/>
      <c r="L128" s="71"/>
      <c r="M128" s="71"/>
      <c r="N128" s="71"/>
      <c r="O128" s="71"/>
      <c r="P128" s="46"/>
      <c r="Q128" s="46"/>
      <c r="R128" s="46"/>
      <c r="S128" s="46"/>
      <c r="T128" s="46"/>
      <c r="U128" s="50"/>
      <c r="V128" s="46"/>
    </row>
    <row r="129" spans="2:22" s="27" customFormat="1">
      <c r="B129" s="18"/>
      <c r="C129" s="18"/>
      <c r="D129" s="18"/>
      <c r="E129" s="18"/>
      <c r="F129" s="18"/>
      <c r="G129" s="18"/>
      <c r="H129" s="18"/>
      <c r="I129" s="71"/>
      <c r="J129" s="71"/>
      <c r="K129" s="71"/>
      <c r="L129" s="71"/>
      <c r="M129" s="71"/>
      <c r="N129" s="71"/>
      <c r="O129" s="71"/>
      <c r="P129" s="46"/>
      <c r="Q129" s="46"/>
      <c r="R129" s="46"/>
      <c r="S129" s="46"/>
      <c r="T129" s="46"/>
      <c r="U129" s="50"/>
      <c r="V129" s="46"/>
    </row>
    <row r="130" spans="2:22" s="27" customFormat="1">
      <c r="B130" s="18"/>
      <c r="C130" s="18"/>
      <c r="D130" s="18"/>
      <c r="E130" s="18"/>
      <c r="F130" s="18"/>
      <c r="G130" s="18"/>
      <c r="H130" s="18"/>
      <c r="I130" s="71"/>
      <c r="J130" s="71"/>
      <c r="K130" s="71"/>
      <c r="L130" s="71"/>
      <c r="M130" s="71"/>
      <c r="N130" s="71"/>
      <c r="O130" s="71"/>
      <c r="P130" s="46"/>
      <c r="Q130" s="46"/>
      <c r="R130" s="46"/>
      <c r="S130" s="46"/>
      <c r="T130" s="46"/>
      <c r="U130" s="50"/>
      <c r="V130" s="46"/>
    </row>
    <row r="131" spans="2:22" s="27" customFormat="1">
      <c r="B131" s="18"/>
      <c r="C131" s="18"/>
      <c r="D131" s="18"/>
      <c r="E131" s="18"/>
      <c r="F131" s="18"/>
      <c r="G131" s="18"/>
      <c r="H131" s="18"/>
      <c r="I131" s="71"/>
      <c r="J131" s="71"/>
      <c r="K131" s="71"/>
      <c r="L131" s="71"/>
      <c r="M131" s="71"/>
      <c r="N131" s="71"/>
      <c r="O131" s="71"/>
      <c r="P131" s="46"/>
      <c r="Q131" s="46"/>
      <c r="R131" s="46"/>
      <c r="S131" s="46"/>
      <c r="T131" s="46"/>
      <c r="U131" s="50"/>
      <c r="V131" s="46"/>
    </row>
    <row r="132" spans="2:22" s="27" customFormat="1">
      <c r="B132" s="18"/>
      <c r="C132" s="18"/>
      <c r="D132" s="18"/>
      <c r="E132" s="18"/>
      <c r="F132" s="18"/>
      <c r="G132" s="18"/>
      <c r="H132" s="18"/>
      <c r="I132" s="71"/>
      <c r="J132" s="71"/>
      <c r="K132" s="71"/>
      <c r="L132" s="71"/>
      <c r="M132" s="71"/>
      <c r="N132" s="71"/>
      <c r="O132" s="71"/>
      <c r="P132" s="46"/>
      <c r="Q132" s="46"/>
      <c r="R132" s="46"/>
      <c r="S132" s="46"/>
      <c r="T132" s="46"/>
      <c r="U132" s="50"/>
      <c r="V132" s="46"/>
    </row>
    <row r="133" spans="2:22" s="27" customFormat="1">
      <c r="B133" s="18"/>
      <c r="C133" s="18"/>
      <c r="D133" s="18"/>
      <c r="E133" s="18"/>
      <c r="F133" s="18"/>
      <c r="G133" s="18"/>
      <c r="H133" s="18"/>
      <c r="I133" s="71"/>
      <c r="J133" s="71"/>
      <c r="K133" s="71"/>
      <c r="L133" s="71"/>
      <c r="M133" s="71"/>
      <c r="N133" s="71"/>
      <c r="O133" s="71"/>
      <c r="P133" s="46"/>
      <c r="Q133" s="46"/>
      <c r="R133" s="46"/>
      <c r="S133" s="46"/>
      <c r="T133" s="46"/>
      <c r="U133" s="50"/>
      <c r="V133" s="46"/>
    </row>
    <row r="134" spans="2:22" s="27" customFormat="1">
      <c r="B134" s="18"/>
      <c r="C134" s="18"/>
      <c r="D134" s="18"/>
      <c r="E134" s="18"/>
      <c r="F134" s="18"/>
      <c r="G134" s="18"/>
      <c r="H134" s="18"/>
      <c r="I134" s="71"/>
      <c r="J134" s="71"/>
      <c r="K134" s="71"/>
      <c r="L134" s="71"/>
      <c r="M134" s="71"/>
      <c r="N134" s="71"/>
      <c r="O134" s="71"/>
      <c r="P134" s="46"/>
      <c r="Q134" s="46"/>
      <c r="R134" s="46"/>
      <c r="S134" s="46"/>
      <c r="T134" s="46"/>
      <c r="U134" s="50"/>
      <c r="V134" s="46"/>
    </row>
    <row r="135" spans="2:22" s="27" customFormat="1">
      <c r="B135" s="18"/>
      <c r="C135" s="18"/>
      <c r="D135" s="18"/>
      <c r="E135" s="18"/>
      <c r="F135" s="18"/>
      <c r="G135" s="18"/>
      <c r="H135" s="18"/>
      <c r="I135" s="71"/>
      <c r="J135" s="71"/>
      <c r="K135" s="71"/>
      <c r="L135" s="71"/>
      <c r="M135" s="71"/>
      <c r="N135" s="71"/>
      <c r="O135" s="71"/>
      <c r="P135" s="46"/>
      <c r="Q135" s="46"/>
      <c r="R135" s="46"/>
      <c r="S135" s="46"/>
      <c r="T135" s="46"/>
      <c r="U135" s="50"/>
      <c r="V135" s="46"/>
    </row>
    <row r="136" spans="2:22" s="27" customFormat="1">
      <c r="B136" s="18"/>
      <c r="C136" s="18"/>
      <c r="D136" s="18"/>
      <c r="E136" s="18"/>
      <c r="F136" s="18"/>
      <c r="G136" s="18"/>
      <c r="H136" s="18"/>
      <c r="I136" s="71"/>
      <c r="J136" s="71"/>
      <c r="K136" s="71"/>
      <c r="L136" s="71"/>
      <c r="M136" s="71"/>
      <c r="N136" s="71"/>
      <c r="O136" s="71"/>
      <c r="P136" s="46"/>
      <c r="Q136" s="46"/>
      <c r="R136" s="46"/>
      <c r="S136" s="46"/>
      <c r="T136" s="46"/>
      <c r="U136" s="50"/>
      <c r="V136" s="46"/>
    </row>
    <row r="137" spans="2:22" s="27" customFormat="1">
      <c r="B137" s="18"/>
      <c r="C137" s="18"/>
      <c r="D137" s="18"/>
      <c r="E137" s="18"/>
      <c r="F137" s="18"/>
      <c r="G137" s="18"/>
      <c r="H137" s="18"/>
      <c r="I137" s="71"/>
      <c r="J137" s="71"/>
      <c r="K137" s="71"/>
      <c r="L137" s="71"/>
      <c r="M137" s="71"/>
      <c r="N137" s="71"/>
      <c r="O137" s="71"/>
      <c r="P137" s="46"/>
      <c r="Q137" s="46"/>
      <c r="R137" s="46"/>
      <c r="S137" s="46"/>
      <c r="T137" s="46"/>
      <c r="U137" s="50"/>
      <c r="V137" s="46"/>
    </row>
    <row r="138" spans="2:22" s="27" customFormat="1">
      <c r="B138" s="18"/>
      <c r="C138" s="18"/>
      <c r="D138" s="18"/>
      <c r="E138" s="18"/>
      <c r="F138" s="18"/>
      <c r="G138" s="18"/>
      <c r="H138" s="18"/>
      <c r="I138" s="71"/>
      <c r="J138" s="71"/>
      <c r="K138" s="71"/>
      <c r="L138" s="71"/>
      <c r="M138" s="71"/>
      <c r="N138" s="71"/>
      <c r="O138" s="71"/>
      <c r="P138" s="46"/>
      <c r="Q138" s="46"/>
      <c r="R138" s="46"/>
      <c r="S138" s="46"/>
      <c r="T138" s="46"/>
      <c r="U138" s="50"/>
      <c r="V138" s="46"/>
    </row>
    <row r="139" spans="2:22" s="27" customFormat="1">
      <c r="B139" s="18"/>
      <c r="C139" s="18"/>
      <c r="D139" s="18"/>
      <c r="E139" s="18"/>
      <c r="F139" s="18"/>
      <c r="G139" s="18"/>
      <c r="H139" s="18"/>
      <c r="I139" s="71"/>
      <c r="J139" s="71"/>
      <c r="K139" s="71"/>
      <c r="L139" s="71"/>
      <c r="M139" s="71"/>
      <c r="N139" s="71"/>
      <c r="O139" s="71"/>
      <c r="P139" s="46"/>
      <c r="Q139" s="46"/>
      <c r="R139" s="46"/>
      <c r="S139" s="46"/>
      <c r="T139" s="46"/>
      <c r="U139" s="50"/>
      <c r="V139" s="46"/>
    </row>
    <row r="140" spans="2:22" s="27" customFormat="1">
      <c r="B140" s="18"/>
      <c r="C140" s="18"/>
      <c r="D140" s="18"/>
      <c r="E140" s="18"/>
      <c r="F140" s="18"/>
      <c r="G140" s="18"/>
      <c r="H140" s="18"/>
      <c r="I140" s="71"/>
      <c r="J140" s="71"/>
      <c r="K140" s="71"/>
      <c r="L140" s="71"/>
      <c r="M140" s="71"/>
      <c r="N140" s="71"/>
      <c r="O140" s="71"/>
      <c r="P140" s="46"/>
      <c r="Q140" s="46"/>
      <c r="R140" s="46"/>
      <c r="S140" s="46"/>
      <c r="T140" s="46"/>
      <c r="U140" s="50"/>
      <c r="V140" s="46"/>
    </row>
    <row r="141" spans="2:22" s="27" customFormat="1">
      <c r="B141" s="18"/>
      <c r="C141" s="18"/>
      <c r="D141" s="18"/>
      <c r="E141" s="18"/>
      <c r="F141" s="18"/>
      <c r="G141" s="18"/>
      <c r="H141" s="18"/>
      <c r="I141" s="71"/>
      <c r="J141" s="71"/>
      <c r="K141" s="71"/>
      <c r="L141" s="71"/>
      <c r="M141" s="71"/>
      <c r="N141" s="71"/>
      <c r="O141" s="71"/>
      <c r="P141" s="46"/>
      <c r="Q141" s="46"/>
      <c r="R141" s="46"/>
      <c r="S141" s="46"/>
      <c r="T141" s="46"/>
      <c r="U141" s="50"/>
      <c r="V141" s="46"/>
    </row>
    <row r="142" spans="2:22" s="27" customFormat="1">
      <c r="B142" s="18"/>
      <c r="C142" s="18"/>
      <c r="D142" s="18"/>
      <c r="E142" s="18"/>
      <c r="F142" s="18"/>
      <c r="G142" s="18"/>
      <c r="H142" s="18"/>
      <c r="I142" s="71"/>
      <c r="J142" s="71"/>
      <c r="K142" s="71"/>
      <c r="L142" s="71"/>
      <c r="M142" s="71"/>
      <c r="N142" s="71"/>
      <c r="O142" s="71"/>
      <c r="P142" s="46"/>
      <c r="Q142" s="46"/>
      <c r="R142" s="46"/>
      <c r="S142" s="46"/>
      <c r="T142" s="46"/>
      <c r="U142" s="50"/>
      <c r="V142" s="46"/>
    </row>
    <row r="143" spans="2:22" s="27" customFormat="1">
      <c r="B143" s="18"/>
      <c r="C143" s="18"/>
      <c r="D143" s="18"/>
      <c r="E143" s="18"/>
      <c r="F143" s="18"/>
      <c r="G143" s="18"/>
      <c r="H143" s="18"/>
      <c r="I143" s="71"/>
      <c r="J143" s="71"/>
      <c r="K143" s="71"/>
      <c r="L143" s="71"/>
      <c r="M143" s="71"/>
      <c r="N143" s="71"/>
      <c r="O143" s="71"/>
      <c r="P143" s="46"/>
      <c r="Q143" s="46"/>
      <c r="R143" s="46"/>
      <c r="S143" s="46"/>
      <c r="T143" s="46"/>
      <c r="U143" s="50"/>
      <c r="V143" s="46"/>
    </row>
    <row r="144" spans="2:22" s="27" customFormat="1">
      <c r="B144" s="18"/>
      <c r="C144" s="18"/>
      <c r="D144" s="18"/>
      <c r="E144" s="18"/>
      <c r="F144" s="18"/>
      <c r="G144" s="18"/>
      <c r="H144" s="18"/>
      <c r="I144" s="71"/>
      <c r="J144" s="71"/>
      <c r="K144" s="71"/>
      <c r="L144" s="71"/>
      <c r="M144" s="71"/>
      <c r="N144" s="71"/>
      <c r="O144" s="71"/>
      <c r="P144" s="46"/>
      <c r="Q144" s="46"/>
      <c r="R144" s="46"/>
      <c r="S144" s="46"/>
      <c r="T144" s="46"/>
      <c r="U144" s="50"/>
      <c r="V144" s="46"/>
    </row>
    <row r="145" spans="2:22" s="27" customFormat="1">
      <c r="B145" s="18"/>
      <c r="C145" s="18"/>
      <c r="D145" s="18"/>
      <c r="E145" s="18"/>
      <c r="F145" s="18"/>
      <c r="G145" s="18"/>
      <c r="H145" s="18"/>
      <c r="I145" s="71"/>
      <c r="J145" s="71"/>
      <c r="K145" s="71"/>
      <c r="L145" s="71"/>
      <c r="M145" s="71"/>
      <c r="N145" s="71"/>
      <c r="O145" s="71"/>
      <c r="P145" s="46"/>
      <c r="Q145" s="46"/>
      <c r="R145" s="46"/>
      <c r="S145" s="46"/>
      <c r="T145" s="46"/>
      <c r="U145" s="50"/>
      <c r="V145" s="46"/>
    </row>
    <row r="146" spans="2:22" s="27" customFormat="1">
      <c r="B146" s="18"/>
      <c r="C146" s="18"/>
      <c r="D146" s="18"/>
      <c r="E146" s="18"/>
      <c r="F146" s="18"/>
      <c r="G146" s="18"/>
      <c r="H146" s="18"/>
      <c r="I146" s="71"/>
      <c r="J146" s="71"/>
      <c r="K146" s="71"/>
      <c r="L146" s="71"/>
      <c r="M146" s="71"/>
      <c r="N146" s="71"/>
      <c r="O146" s="71"/>
      <c r="P146" s="46"/>
      <c r="Q146" s="46"/>
      <c r="R146" s="46"/>
      <c r="S146" s="46"/>
      <c r="T146" s="46"/>
      <c r="U146" s="50"/>
      <c r="V146" s="46"/>
    </row>
    <row r="147" spans="2:22" s="27" customFormat="1">
      <c r="B147" s="18"/>
      <c r="C147" s="18"/>
      <c r="D147" s="18"/>
      <c r="E147" s="18"/>
      <c r="F147" s="18"/>
      <c r="G147" s="18"/>
      <c r="H147" s="18"/>
      <c r="I147" s="71"/>
      <c r="J147" s="71"/>
      <c r="K147" s="71"/>
      <c r="L147" s="71"/>
      <c r="M147" s="71"/>
      <c r="N147" s="71"/>
      <c r="O147" s="71"/>
      <c r="P147" s="46"/>
      <c r="Q147" s="46"/>
      <c r="R147" s="46"/>
      <c r="S147" s="46"/>
      <c r="T147" s="46"/>
      <c r="U147" s="50"/>
      <c r="V147" s="46"/>
    </row>
    <row r="148" spans="2:22" s="27" customFormat="1">
      <c r="B148" s="18"/>
      <c r="C148" s="18"/>
      <c r="D148" s="18"/>
      <c r="E148" s="18"/>
      <c r="F148" s="18"/>
      <c r="G148" s="18"/>
      <c r="H148" s="18"/>
      <c r="I148" s="71"/>
      <c r="J148" s="71"/>
      <c r="K148" s="71"/>
      <c r="L148" s="71"/>
      <c r="M148" s="71"/>
      <c r="N148" s="71"/>
      <c r="O148" s="71"/>
      <c r="P148" s="46"/>
      <c r="Q148" s="46"/>
      <c r="R148" s="46"/>
      <c r="S148" s="46"/>
      <c r="T148" s="46"/>
      <c r="U148" s="50"/>
      <c r="V148" s="46"/>
    </row>
    <row r="149" spans="2:22" s="27" customFormat="1">
      <c r="B149" s="18"/>
      <c r="C149" s="18"/>
      <c r="D149" s="18"/>
      <c r="E149" s="18"/>
      <c r="F149" s="18"/>
      <c r="G149" s="18"/>
      <c r="H149" s="18"/>
      <c r="I149" s="71"/>
      <c r="J149" s="71"/>
      <c r="K149" s="71"/>
      <c r="L149" s="71"/>
      <c r="M149" s="71"/>
      <c r="N149" s="71"/>
      <c r="O149" s="71"/>
      <c r="P149" s="46"/>
      <c r="Q149" s="46"/>
      <c r="R149" s="46"/>
      <c r="S149" s="46"/>
      <c r="T149" s="46"/>
      <c r="U149" s="50"/>
      <c r="V149" s="46"/>
    </row>
    <row r="150" spans="2:22" s="27" customFormat="1">
      <c r="B150" s="18"/>
      <c r="C150" s="18"/>
      <c r="D150" s="18"/>
      <c r="E150" s="18"/>
      <c r="F150" s="18"/>
      <c r="G150" s="18"/>
      <c r="H150" s="18"/>
      <c r="I150" s="71"/>
      <c r="J150" s="71"/>
      <c r="K150" s="71"/>
      <c r="L150" s="71"/>
      <c r="M150" s="71"/>
      <c r="N150" s="71"/>
      <c r="O150" s="71"/>
      <c r="P150" s="46"/>
      <c r="Q150" s="46"/>
      <c r="R150" s="46"/>
      <c r="S150" s="46"/>
      <c r="T150" s="46"/>
      <c r="U150" s="50"/>
      <c r="V150" s="46"/>
    </row>
    <row r="151" spans="2:22" s="27" customFormat="1">
      <c r="B151" s="18"/>
      <c r="C151" s="18"/>
      <c r="D151" s="18"/>
      <c r="E151" s="18"/>
      <c r="F151" s="18"/>
      <c r="G151" s="18"/>
      <c r="H151" s="18"/>
      <c r="I151" s="71"/>
      <c r="J151" s="71"/>
      <c r="K151" s="71"/>
      <c r="L151" s="71"/>
      <c r="M151" s="71"/>
      <c r="N151" s="71"/>
      <c r="O151" s="71"/>
      <c r="P151" s="46"/>
      <c r="Q151" s="46"/>
      <c r="R151" s="46"/>
      <c r="S151" s="46"/>
      <c r="T151" s="46"/>
      <c r="U151" s="50"/>
      <c r="V151" s="46"/>
    </row>
    <row r="152" spans="2:22" s="27" customFormat="1">
      <c r="B152" s="18"/>
      <c r="C152" s="18"/>
      <c r="D152" s="18"/>
      <c r="E152" s="18"/>
      <c r="F152" s="18"/>
      <c r="G152" s="18"/>
      <c r="H152" s="18"/>
      <c r="I152" s="71"/>
      <c r="J152" s="71"/>
      <c r="K152" s="71"/>
      <c r="L152" s="71"/>
      <c r="M152" s="71"/>
      <c r="N152" s="71"/>
      <c r="O152" s="71"/>
      <c r="P152" s="46"/>
      <c r="Q152" s="46"/>
      <c r="R152" s="46"/>
      <c r="S152" s="46"/>
      <c r="T152" s="46"/>
      <c r="U152" s="50"/>
      <c r="V152" s="46"/>
    </row>
    <row r="153" spans="2:22" s="27" customFormat="1">
      <c r="B153" s="18"/>
      <c r="C153" s="18"/>
      <c r="D153" s="18"/>
      <c r="E153" s="18"/>
      <c r="F153" s="18"/>
      <c r="G153" s="18"/>
      <c r="H153" s="18"/>
      <c r="I153" s="71"/>
      <c r="J153" s="71"/>
      <c r="K153" s="71"/>
      <c r="L153" s="71"/>
      <c r="M153" s="71"/>
      <c r="N153" s="71"/>
      <c r="O153" s="71"/>
      <c r="P153" s="46"/>
      <c r="Q153" s="46"/>
      <c r="R153" s="46"/>
      <c r="S153" s="46"/>
      <c r="T153" s="46"/>
      <c r="U153" s="50"/>
      <c r="V153" s="46"/>
    </row>
    <row r="154" spans="2:22" s="27" customFormat="1">
      <c r="B154" s="18"/>
      <c r="C154" s="18"/>
      <c r="D154" s="18"/>
      <c r="E154" s="18"/>
      <c r="F154" s="18"/>
      <c r="G154" s="18"/>
      <c r="H154" s="18"/>
      <c r="I154" s="71"/>
      <c r="J154" s="71"/>
      <c r="K154" s="71"/>
      <c r="L154" s="71"/>
      <c r="M154" s="71"/>
      <c r="N154" s="71"/>
      <c r="O154" s="71"/>
      <c r="P154" s="46"/>
      <c r="Q154" s="46"/>
      <c r="R154" s="46"/>
      <c r="S154" s="46"/>
      <c r="T154" s="46"/>
      <c r="U154" s="50"/>
      <c r="V154" s="46"/>
    </row>
    <row r="155" spans="2:22" s="27" customFormat="1">
      <c r="B155" s="18"/>
      <c r="C155" s="18"/>
      <c r="D155" s="18"/>
      <c r="E155" s="18"/>
      <c r="F155" s="18"/>
      <c r="G155" s="18"/>
      <c r="H155" s="18"/>
      <c r="I155" s="71"/>
      <c r="J155" s="71"/>
      <c r="K155" s="71"/>
      <c r="L155" s="71"/>
      <c r="M155" s="71"/>
      <c r="N155" s="71"/>
      <c r="O155" s="71"/>
      <c r="P155" s="46"/>
      <c r="Q155" s="46"/>
      <c r="R155" s="46"/>
      <c r="S155" s="46"/>
      <c r="T155" s="46"/>
      <c r="U155" s="50"/>
      <c r="V155" s="46"/>
    </row>
    <row r="156" spans="2:22" s="27" customFormat="1">
      <c r="B156" s="18"/>
      <c r="C156" s="18"/>
      <c r="D156" s="18"/>
      <c r="E156" s="18"/>
      <c r="F156" s="18"/>
      <c r="G156" s="18"/>
      <c r="H156" s="18"/>
      <c r="I156" s="71"/>
      <c r="J156" s="71"/>
      <c r="K156" s="71"/>
      <c r="L156" s="71"/>
      <c r="M156" s="71"/>
      <c r="N156" s="71"/>
      <c r="O156" s="71"/>
      <c r="P156" s="46"/>
      <c r="Q156" s="46"/>
      <c r="R156" s="46"/>
      <c r="S156" s="46"/>
      <c r="T156" s="46"/>
      <c r="U156" s="50"/>
      <c r="V156" s="46"/>
    </row>
    <row r="157" spans="2:22" s="27" customFormat="1">
      <c r="B157" s="18"/>
      <c r="C157" s="18"/>
      <c r="D157" s="18"/>
      <c r="E157" s="18"/>
      <c r="F157" s="18"/>
      <c r="G157" s="18"/>
      <c r="H157" s="18"/>
      <c r="I157" s="71"/>
      <c r="J157" s="71"/>
      <c r="K157" s="71"/>
      <c r="L157" s="71"/>
      <c r="M157" s="71"/>
      <c r="N157" s="71"/>
      <c r="O157" s="71"/>
      <c r="P157" s="46"/>
      <c r="Q157" s="46"/>
      <c r="R157" s="46"/>
      <c r="S157" s="46"/>
      <c r="T157" s="46"/>
      <c r="U157" s="50"/>
      <c r="V157" s="46"/>
    </row>
    <row r="158" spans="2:22" s="27" customFormat="1">
      <c r="B158" s="18"/>
      <c r="C158" s="18"/>
      <c r="D158" s="18"/>
      <c r="E158" s="18"/>
      <c r="F158" s="18"/>
      <c r="G158" s="18"/>
      <c r="H158" s="18"/>
      <c r="I158" s="71"/>
      <c r="J158" s="71"/>
      <c r="K158" s="71"/>
      <c r="L158" s="71"/>
      <c r="M158" s="71"/>
      <c r="N158" s="71"/>
      <c r="O158" s="71"/>
      <c r="P158" s="46"/>
      <c r="Q158" s="46"/>
      <c r="R158" s="46"/>
      <c r="S158" s="46"/>
      <c r="T158" s="46"/>
      <c r="U158" s="50"/>
      <c r="V158" s="46"/>
    </row>
    <row r="159" spans="2:22" s="27" customFormat="1">
      <c r="B159" s="18"/>
      <c r="C159" s="18"/>
      <c r="D159" s="18"/>
      <c r="E159" s="18"/>
      <c r="F159" s="18"/>
      <c r="G159" s="18"/>
      <c r="H159" s="18"/>
      <c r="I159" s="71"/>
      <c r="J159" s="71"/>
      <c r="K159" s="71"/>
      <c r="L159" s="71"/>
      <c r="M159" s="71"/>
      <c r="N159" s="71"/>
      <c r="O159" s="71"/>
      <c r="P159" s="46"/>
      <c r="Q159" s="46"/>
      <c r="R159" s="46"/>
      <c r="S159" s="46"/>
      <c r="T159" s="46"/>
      <c r="U159" s="50"/>
      <c r="V159" s="46"/>
    </row>
    <row r="160" spans="2:22" s="27" customFormat="1">
      <c r="B160" s="18"/>
      <c r="C160" s="18"/>
      <c r="D160" s="18"/>
      <c r="E160" s="18"/>
      <c r="F160" s="18"/>
      <c r="G160" s="18"/>
      <c r="H160" s="18"/>
      <c r="I160" s="71"/>
      <c r="J160" s="71"/>
      <c r="K160" s="71"/>
      <c r="L160" s="71"/>
      <c r="M160" s="71"/>
      <c r="N160" s="71"/>
      <c r="O160" s="71"/>
      <c r="P160" s="46"/>
      <c r="Q160" s="46"/>
      <c r="R160" s="46"/>
      <c r="S160" s="46"/>
      <c r="T160" s="46"/>
      <c r="U160" s="50"/>
      <c r="V160" s="46"/>
    </row>
    <row r="161" spans="2:22" s="27" customFormat="1">
      <c r="B161" s="18"/>
      <c r="C161" s="18"/>
      <c r="D161" s="18"/>
      <c r="E161" s="18"/>
      <c r="F161" s="18"/>
      <c r="G161" s="18"/>
      <c r="H161" s="18"/>
      <c r="I161" s="71"/>
      <c r="J161" s="71"/>
      <c r="K161" s="71"/>
      <c r="L161" s="71"/>
      <c r="M161" s="71"/>
      <c r="N161" s="71"/>
      <c r="O161" s="71"/>
      <c r="P161" s="46"/>
      <c r="Q161" s="46"/>
      <c r="R161" s="46"/>
      <c r="S161" s="46"/>
      <c r="T161" s="46"/>
      <c r="U161" s="50"/>
      <c r="V161" s="46"/>
    </row>
    <row r="162" spans="2:22" s="27" customFormat="1">
      <c r="B162" s="18"/>
      <c r="C162" s="18"/>
      <c r="D162" s="18"/>
      <c r="E162" s="18"/>
      <c r="F162" s="18"/>
      <c r="G162" s="18"/>
      <c r="H162" s="18"/>
      <c r="I162" s="71"/>
      <c r="J162" s="71"/>
      <c r="K162" s="71"/>
      <c r="L162" s="71"/>
      <c r="M162" s="71"/>
      <c r="N162" s="71"/>
      <c r="O162" s="71"/>
      <c r="P162" s="46"/>
      <c r="Q162" s="46"/>
      <c r="R162" s="46"/>
      <c r="S162" s="46"/>
      <c r="T162" s="46"/>
      <c r="U162" s="50"/>
      <c r="V162" s="46"/>
    </row>
    <row r="163" spans="2:22" s="27" customFormat="1">
      <c r="B163" s="18"/>
      <c r="C163" s="18"/>
      <c r="D163" s="18"/>
      <c r="E163" s="18"/>
      <c r="F163" s="18"/>
      <c r="G163" s="18"/>
      <c r="H163" s="18"/>
      <c r="I163" s="71"/>
      <c r="J163" s="71"/>
      <c r="K163" s="71"/>
      <c r="L163" s="71"/>
      <c r="M163" s="71"/>
      <c r="N163" s="71"/>
      <c r="O163" s="71"/>
      <c r="P163" s="46"/>
      <c r="Q163" s="46"/>
      <c r="R163" s="46"/>
      <c r="S163" s="46"/>
      <c r="T163" s="46"/>
      <c r="U163" s="50"/>
      <c r="V163" s="46"/>
    </row>
    <row r="164" spans="2:22" s="27" customFormat="1">
      <c r="B164" s="18"/>
      <c r="C164" s="18"/>
      <c r="D164" s="18"/>
      <c r="E164" s="18"/>
      <c r="F164" s="18"/>
      <c r="G164" s="18"/>
      <c r="H164" s="18"/>
      <c r="I164" s="71"/>
      <c r="J164" s="71"/>
      <c r="K164" s="71"/>
      <c r="L164" s="71"/>
      <c r="M164" s="71"/>
      <c r="N164" s="71"/>
      <c r="O164" s="71"/>
      <c r="P164" s="46"/>
      <c r="Q164" s="46"/>
      <c r="R164" s="46"/>
      <c r="S164" s="46"/>
      <c r="T164" s="46"/>
      <c r="U164" s="50"/>
      <c r="V164" s="46"/>
    </row>
    <row r="165" spans="2:22" s="27" customFormat="1">
      <c r="B165" s="18"/>
      <c r="C165" s="18"/>
      <c r="D165" s="18"/>
      <c r="E165" s="18"/>
      <c r="F165" s="18"/>
      <c r="G165" s="18"/>
      <c r="H165" s="18"/>
      <c r="I165" s="71"/>
      <c r="J165" s="71"/>
      <c r="K165" s="71"/>
      <c r="L165" s="71"/>
      <c r="M165" s="71"/>
      <c r="N165" s="71"/>
      <c r="O165" s="71"/>
      <c r="P165" s="46"/>
      <c r="Q165" s="46"/>
      <c r="R165" s="46"/>
      <c r="S165" s="46"/>
      <c r="T165" s="46"/>
      <c r="U165" s="50"/>
      <c r="V165" s="46"/>
    </row>
    <row r="166" spans="2:22" s="27" customFormat="1">
      <c r="B166" s="18"/>
      <c r="C166" s="18"/>
      <c r="D166" s="18"/>
      <c r="E166" s="18"/>
      <c r="F166" s="18"/>
      <c r="G166" s="18"/>
      <c r="H166" s="18"/>
      <c r="I166" s="71"/>
      <c r="J166" s="71"/>
      <c r="K166" s="71"/>
      <c r="L166" s="71"/>
      <c r="M166" s="71"/>
      <c r="N166" s="71"/>
      <c r="O166" s="71"/>
      <c r="P166" s="46"/>
      <c r="Q166" s="46"/>
      <c r="R166" s="46"/>
      <c r="S166" s="46"/>
      <c r="T166" s="46"/>
      <c r="U166" s="50"/>
      <c r="V166" s="46"/>
    </row>
    <row r="167" spans="2:22" s="27" customFormat="1">
      <c r="B167" s="18"/>
      <c r="C167" s="18"/>
      <c r="D167" s="18"/>
      <c r="E167" s="18"/>
      <c r="F167" s="18"/>
      <c r="G167" s="18"/>
      <c r="H167" s="18"/>
      <c r="I167" s="71"/>
      <c r="J167" s="71"/>
      <c r="K167" s="71"/>
      <c r="L167" s="71"/>
      <c r="M167" s="71"/>
      <c r="N167" s="71"/>
      <c r="O167" s="71"/>
      <c r="P167" s="46"/>
      <c r="Q167" s="46"/>
      <c r="R167" s="46"/>
      <c r="S167" s="46"/>
      <c r="T167" s="46"/>
      <c r="U167" s="50"/>
      <c r="V167" s="46"/>
    </row>
    <row r="168" spans="2:22" s="27" customFormat="1">
      <c r="B168" s="18"/>
      <c r="C168" s="18"/>
      <c r="D168" s="18"/>
      <c r="E168" s="18"/>
      <c r="F168" s="18"/>
      <c r="G168" s="18"/>
      <c r="H168" s="18"/>
      <c r="I168" s="71"/>
      <c r="J168" s="71"/>
      <c r="K168" s="71"/>
      <c r="L168" s="71"/>
      <c r="M168" s="71"/>
      <c r="N168" s="71"/>
      <c r="O168" s="71"/>
      <c r="P168" s="46"/>
      <c r="Q168" s="46"/>
      <c r="R168" s="46"/>
      <c r="S168" s="46"/>
      <c r="T168" s="46"/>
      <c r="U168" s="50"/>
      <c r="V168" s="46"/>
    </row>
    <row r="169" spans="2:22" s="27" customFormat="1">
      <c r="B169" s="18"/>
      <c r="C169" s="18"/>
      <c r="D169" s="18"/>
      <c r="E169" s="18"/>
      <c r="F169" s="18"/>
      <c r="G169" s="18"/>
      <c r="H169" s="18"/>
      <c r="I169" s="71"/>
      <c r="J169" s="71"/>
      <c r="K169" s="71"/>
      <c r="L169" s="71"/>
      <c r="M169" s="71"/>
      <c r="N169" s="71"/>
      <c r="O169" s="71"/>
      <c r="P169" s="46"/>
      <c r="Q169" s="46"/>
      <c r="R169" s="46"/>
      <c r="S169" s="46"/>
      <c r="T169" s="46"/>
      <c r="U169" s="50"/>
      <c r="V169" s="46"/>
    </row>
    <row r="170" spans="2:22" s="27" customFormat="1">
      <c r="B170" s="18"/>
      <c r="C170" s="18"/>
      <c r="D170" s="18"/>
      <c r="E170" s="18"/>
      <c r="F170" s="18"/>
      <c r="G170" s="18"/>
      <c r="H170" s="18"/>
      <c r="I170" s="71"/>
      <c r="J170" s="71"/>
      <c r="K170" s="71"/>
      <c r="L170" s="71"/>
      <c r="M170" s="71"/>
      <c r="N170" s="71"/>
      <c r="O170" s="71"/>
      <c r="P170" s="46"/>
      <c r="Q170" s="46"/>
      <c r="R170" s="46"/>
      <c r="S170" s="46"/>
      <c r="T170" s="46"/>
      <c r="U170" s="50"/>
      <c r="V170" s="46"/>
    </row>
    <row r="171" spans="2:22" s="27" customFormat="1">
      <c r="B171" s="18"/>
      <c r="C171" s="18"/>
      <c r="D171" s="18"/>
      <c r="E171" s="18"/>
      <c r="F171" s="18"/>
      <c r="G171" s="18"/>
      <c r="H171" s="18"/>
      <c r="I171" s="71"/>
      <c r="J171" s="71"/>
      <c r="K171" s="71"/>
      <c r="L171" s="71"/>
      <c r="M171" s="71"/>
      <c r="N171" s="71"/>
      <c r="O171" s="71"/>
      <c r="P171" s="46"/>
      <c r="Q171" s="46"/>
      <c r="R171" s="46"/>
      <c r="S171" s="46"/>
      <c r="T171" s="46"/>
      <c r="U171" s="50"/>
      <c r="V171" s="46"/>
    </row>
    <row r="172" spans="2:22" s="27" customFormat="1">
      <c r="B172" s="18"/>
      <c r="C172" s="18"/>
      <c r="D172" s="18"/>
      <c r="E172" s="18"/>
      <c r="F172" s="18"/>
      <c r="G172" s="18"/>
      <c r="H172" s="18"/>
      <c r="I172" s="71"/>
      <c r="J172" s="71"/>
      <c r="K172" s="71"/>
      <c r="L172" s="71"/>
      <c r="M172" s="71"/>
      <c r="N172" s="71"/>
      <c r="O172" s="71"/>
      <c r="P172" s="46"/>
      <c r="Q172" s="46"/>
      <c r="R172" s="46"/>
      <c r="S172" s="46"/>
      <c r="T172" s="46"/>
      <c r="U172" s="50"/>
      <c r="V172" s="46"/>
    </row>
    <row r="173" spans="2:22" s="27" customFormat="1">
      <c r="B173" s="18"/>
      <c r="C173" s="18"/>
      <c r="D173" s="18"/>
      <c r="E173" s="18"/>
      <c r="F173" s="18"/>
      <c r="G173" s="18"/>
      <c r="H173" s="18"/>
      <c r="I173" s="71"/>
      <c r="J173" s="71"/>
      <c r="K173" s="71"/>
      <c r="L173" s="71"/>
      <c r="M173" s="71"/>
      <c r="N173" s="71"/>
      <c r="O173" s="71"/>
      <c r="P173" s="46"/>
      <c r="Q173" s="46"/>
      <c r="R173" s="46"/>
      <c r="S173" s="46"/>
      <c r="T173" s="46"/>
      <c r="U173" s="50"/>
      <c r="V173" s="46"/>
    </row>
    <row r="174" spans="2:22" s="27" customFormat="1">
      <c r="B174" s="18"/>
      <c r="C174" s="18"/>
      <c r="D174" s="18"/>
      <c r="E174" s="18"/>
      <c r="F174" s="18"/>
      <c r="G174" s="18"/>
      <c r="H174" s="18"/>
      <c r="I174" s="71"/>
      <c r="J174" s="71"/>
      <c r="K174" s="71"/>
      <c r="L174" s="71"/>
      <c r="M174" s="71"/>
      <c r="N174" s="71"/>
      <c r="O174" s="71"/>
      <c r="P174" s="46"/>
      <c r="Q174" s="46"/>
      <c r="R174" s="46"/>
      <c r="S174" s="46"/>
      <c r="T174" s="46"/>
      <c r="U174" s="50"/>
      <c r="V174" s="46"/>
    </row>
    <row r="175" spans="2:22" s="27" customFormat="1">
      <c r="B175" s="18"/>
      <c r="C175" s="18"/>
      <c r="D175" s="18"/>
      <c r="E175" s="18"/>
      <c r="F175" s="18"/>
      <c r="G175" s="18"/>
      <c r="H175" s="18"/>
      <c r="I175" s="71"/>
      <c r="J175" s="71"/>
      <c r="K175" s="71"/>
      <c r="L175" s="71"/>
      <c r="M175" s="71"/>
      <c r="N175" s="71"/>
      <c r="O175" s="71"/>
      <c r="P175" s="46"/>
      <c r="Q175" s="46"/>
      <c r="R175" s="46"/>
      <c r="S175" s="46"/>
      <c r="T175" s="46"/>
      <c r="U175" s="50"/>
      <c r="V175" s="46"/>
    </row>
    <row r="176" spans="2:22" s="27" customFormat="1">
      <c r="B176" s="18"/>
      <c r="C176" s="18"/>
      <c r="D176" s="18"/>
      <c r="E176" s="18"/>
      <c r="F176" s="18"/>
      <c r="G176" s="18"/>
      <c r="H176" s="18"/>
      <c r="I176" s="71"/>
      <c r="J176" s="71"/>
      <c r="K176" s="71"/>
      <c r="L176" s="71"/>
      <c r="M176" s="71"/>
      <c r="N176" s="71"/>
      <c r="O176" s="71"/>
      <c r="P176" s="46"/>
      <c r="Q176" s="46"/>
      <c r="R176" s="46"/>
      <c r="S176" s="46"/>
      <c r="T176" s="46"/>
      <c r="U176" s="50"/>
      <c r="V176" s="46"/>
    </row>
    <row r="177" spans="2:22" s="27" customFormat="1">
      <c r="B177" s="18"/>
      <c r="C177" s="18"/>
      <c r="D177" s="18"/>
      <c r="E177" s="18"/>
      <c r="F177" s="18"/>
      <c r="G177" s="18"/>
      <c r="H177" s="18"/>
      <c r="I177" s="71"/>
      <c r="J177" s="71"/>
      <c r="K177" s="71"/>
      <c r="L177" s="71"/>
      <c r="M177" s="71"/>
      <c r="N177" s="71"/>
      <c r="O177" s="71"/>
      <c r="P177" s="46"/>
      <c r="Q177" s="46"/>
      <c r="R177" s="46"/>
      <c r="S177" s="46"/>
      <c r="T177" s="46"/>
      <c r="U177" s="50"/>
      <c r="V177" s="46"/>
    </row>
    <row r="178" spans="2:22" s="27" customFormat="1">
      <c r="B178" s="18"/>
      <c r="C178" s="18"/>
      <c r="D178" s="18"/>
      <c r="E178" s="18"/>
      <c r="F178" s="18"/>
      <c r="G178" s="18"/>
      <c r="H178" s="18"/>
      <c r="I178" s="71"/>
      <c r="J178" s="71"/>
      <c r="K178" s="71"/>
      <c r="L178" s="71"/>
      <c r="M178" s="71"/>
      <c r="N178" s="71"/>
      <c r="O178" s="71"/>
      <c r="P178" s="46"/>
      <c r="Q178" s="46"/>
      <c r="R178" s="46"/>
      <c r="S178" s="46"/>
      <c r="T178" s="46"/>
      <c r="U178" s="50"/>
      <c r="V178" s="46"/>
    </row>
    <row r="179" spans="2:22" s="27" customFormat="1">
      <c r="B179" s="18"/>
      <c r="C179" s="18"/>
      <c r="D179" s="18"/>
      <c r="E179" s="18"/>
      <c r="F179" s="18"/>
      <c r="G179" s="18"/>
      <c r="H179" s="18"/>
      <c r="I179" s="71"/>
      <c r="J179" s="71"/>
      <c r="K179" s="71"/>
      <c r="L179" s="71"/>
      <c r="M179" s="71"/>
      <c r="N179" s="71"/>
      <c r="O179" s="71"/>
      <c r="P179" s="46"/>
      <c r="Q179" s="46"/>
      <c r="R179" s="46"/>
      <c r="S179" s="46"/>
      <c r="T179" s="46"/>
      <c r="U179" s="50"/>
      <c r="V179" s="46"/>
    </row>
    <row r="180" spans="2:22" s="27" customFormat="1">
      <c r="B180" s="18"/>
      <c r="C180" s="18"/>
      <c r="D180" s="18"/>
      <c r="E180" s="18"/>
      <c r="F180" s="18"/>
      <c r="G180" s="18"/>
      <c r="H180" s="18"/>
      <c r="I180" s="71"/>
      <c r="J180" s="71"/>
      <c r="K180" s="71"/>
      <c r="L180" s="71"/>
      <c r="M180" s="71"/>
      <c r="N180" s="71"/>
      <c r="O180" s="71"/>
      <c r="P180" s="46"/>
      <c r="Q180" s="46"/>
      <c r="R180" s="46"/>
      <c r="S180" s="46"/>
      <c r="T180" s="46"/>
      <c r="U180" s="50"/>
      <c r="V180" s="46"/>
    </row>
    <row r="181" spans="2:22" s="27" customFormat="1">
      <c r="B181" s="18"/>
      <c r="C181" s="18"/>
      <c r="D181" s="18"/>
      <c r="E181" s="18"/>
      <c r="F181" s="18"/>
      <c r="G181" s="18"/>
      <c r="H181" s="18"/>
      <c r="I181" s="71"/>
      <c r="J181" s="71"/>
      <c r="K181" s="71"/>
      <c r="L181" s="71"/>
      <c r="M181" s="71"/>
      <c r="N181" s="71"/>
      <c r="O181" s="71"/>
      <c r="P181" s="46"/>
      <c r="Q181" s="46"/>
      <c r="R181" s="46"/>
      <c r="S181" s="46"/>
      <c r="T181" s="46"/>
      <c r="U181" s="50"/>
      <c r="V181" s="46"/>
    </row>
    <row r="182" spans="2:22" s="27" customFormat="1">
      <c r="B182" s="18"/>
      <c r="C182" s="18"/>
      <c r="D182" s="18"/>
      <c r="E182" s="18"/>
      <c r="F182" s="18"/>
      <c r="G182" s="18"/>
      <c r="H182" s="18"/>
      <c r="I182" s="71"/>
      <c r="J182" s="71"/>
      <c r="K182" s="71"/>
      <c r="L182" s="71"/>
      <c r="M182" s="71"/>
      <c r="N182" s="71"/>
      <c r="O182" s="71"/>
      <c r="P182" s="46"/>
      <c r="Q182" s="46"/>
      <c r="R182" s="46"/>
      <c r="S182" s="46"/>
      <c r="T182" s="46"/>
      <c r="U182" s="50"/>
      <c r="V182" s="46"/>
    </row>
    <row r="183" spans="2:22" s="27" customFormat="1">
      <c r="B183" s="18"/>
      <c r="C183" s="18"/>
      <c r="D183" s="18"/>
      <c r="E183" s="18"/>
      <c r="F183" s="18"/>
      <c r="G183" s="18"/>
      <c r="H183" s="18"/>
      <c r="I183" s="71"/>
      <c r="J183" s="71"/>
      <c r="K183" s="71"/>
      <c r="L183" s="71"/>
      <c r="M183" s="71"/>
      <c r="N183" s="71"/>
      <c r="O183" s="71"/>
      <c r="P183" s="46"/>
      <c r="Q183" s="46"/>
      <c r="R183" s="46"/>
      <c r="S183" s="46"/>
      <c r="T183" s="46"/>
      <c r="U183" s="50"/>
      <c r="V183" s="46"/>
    </row>
    <row r="184" spans="2:22" s="27" customFormat="1">
      <c r="B184" s="18"/>
      <c r="C184" s="18"/>
      <c r="D184" s="18"/>
      <c r="E184" s="18"/>
      <c r="F184" s="18"/>
      <c r="G184" s="18"/>
      <c r="H184" s="18"/>
      <c r="I184" s="71"/>
      <c r="J184" s="71"/>
      <c r="K184" s="71"/>
      <c r="L184" s="71"/>
      <c r="M184" s="71"/>
      <c r="N184" s="71"/>
      <c r="O184" s="71"/>
      <c r="P184" s="46"/>
      <c r="Q184" s="46"/>
      <c r="R184" s="46"/>
      <c r="S184" s="46"/>
      <c r="T184" s="46"/>
      <c r="U184" s="50"/>
      <c r="V184" s="46"/>
    </row>
    <row r="185" spans="2:22" s="27" customFormat="1">
      <c r="B185" s="18"/>
      <c r="C185" s="18"/>
      <c r="D185" s="18"/>
      <c r="E185" s="18"/>
      <c r="F185" s="18"/>
      <c r="G185" s="18"/>
      <c r="H185" s="18"/>
      <c r="I185" s="71"/>
      <c r="J185" s="71"/>
      <c r="K185" s="71"/>
      <c r="L185" s="71"/>
      <c r="M185" s="71"/>
      <c r="N185" s="71"/>
      <c r="O185" s="71"/>
      <c r="P185" s="46"/>
      <c r="Q185" s="46"/>
      <c r="R185" s="46"/>
      <c r="S185" s="46"/>
      <c r="T185" s="46"/>
      <c r="U185" s="50"/>
      <c r="V185" s="46"/>
    </row>
    <row r="186" spans="2:22" s="27" customFormat="1">
      <c r="B186" s="18"/>
      <c r="C186" s="18"/>
      <c r="D186" s="18"/>
      <c r="E186" s="18"/>
      <c r="F186" s="18"/>
      <c r="G186" s="18"/>
      <c r="H186" s="18"/>
      <c r="I186" s="71"/>
      <c r="J186" s="71"/>
      <c r="K186" s="71"/>
      <c r="L186" s="71"/>
      <c r="M186" s="71"/>
      <c r="N186" s="71"/>
      <c r="O186" s="71"/>
      <c r="P186" s="46"/>
      <c r="Q186" s="46"/>
      <c r="R186" s="46"/>
      <c r="S186" s="46"/>
      <c r="T186" s="46"/>
      <c r="U186" s="50"/>
      <c r="V186" s="46"/>
    </row>
    <row r="187" spans="2:22" s="27" customFormat="1">
      <c r="B187" s="18"/>
      <c r="C187" s="18"/>
      <c r="D187" s="18"/>
      <c r="E187" s="18"/>
      <c r="F187" s="18"/>
      <c r="G187" s="18"/>
      <c r="H187" s="18"/>
      <c r="I187" s="71"/>
      <c r="J187" s="71"/>
      <c r="K187" s="71"/>
      <c r="L187" s="71"/>
      <c r="M187" s="71"/>
      <c r="N187" s="71"/>
      <c r="O187" s="71"/>
      <c r="P187" s="46"/>
      <c r="Q187" s="46"/>
      <c r="R187" s="46"/>
      <c r="S187" s="46"/>
      <c r="T187" s="46"/>
      <c r="U187" s="50"/>
      <c r="V187" s="46"/>
    </row>
    <row r="188" spans="2:22" s="27" customFormat="1">
      <c r="B188" s="18"/>
      <c r="C188" s="18"/>
      <c r="D188" s="18"/>
      <c r="E188" s="18"/>
      <c r="F188" s="18"/>
      <c r="G188" s="18"/>
      <c r="H188" s="18"/>
      <c r="I188" s="71"/>
      <c r="J188" s="71"/>
      <c r="K188" s="71"/>
      <c r="L188" s="71"/>
      <c r="M188" s="71"/>
      <c r="N188" s="71"/>
      <c r="O188" s="71"/>
      <c r="P188" s="46"/>
      <c r="Q188" s="46"/>
      <c r="R188" s="46"/>
      <c r="S188" s="46"/>
      <c r="T188" s="46"/>
      <c r="U188" s="50"/>
      <c r="V188" s="46"/>
    </row>
    <row r="189" spans="2:22" s="27" customFormat="1">
      <c r="B189" s="18"/>
      <c r="C189" s="18"/>
      <c r="D189" s="18"/>
      <c r="E189" s="18"/>
      <c r="F189" s="18"/>
      <c r="G189" s="18"/>
      <c r="H189" s="18"/>
      <c r="I189" s="71"/>
      <c r="J189" s="71"/>
      <c r="K189" s="71"/>
      <c r="L189" s="71"/>
      <c r="M189" s="71"/>
      <c r="N189" s="71"/>
      <c r="O189" s="71"/>
      <c r="P189" s="46"/>
      <c r="Q189" s="46"/>
      <c r="R189" s="46"/>
      <c r="S189" s="46"/>
      <c r="T189" s="46"/>
      <c r="U189" s="50"/>
      <c r="V189" s="46"/>
    </row>
    <row r="190" spans="2:22" s="27" customFormat="1">
      <c r="B190" s="18"/>
      <c r="C190" s="18"/>
      <c r="D190" s="18"/>
      <c r="E190" s="18"/>
      <c r="F190" s="18"/>
      <c r="G190" s="18"/>
      <c r="H190" s="18"/>
      <c r="I190" s="71"/>
      <c r="J190" s="71"/>
      <c r="K190" s="71"/>
      <c r="L190" s="71"/>
      <c r="M190" s="71"/>
      <c r="N190" s="71"/>
      <c r="O190" s="71"/>
      <c r="P190" s="46"/>
      <c r="Q190" s="46"/>
      <c r="R190" s="46"/>
      <c r="S190" s="46"/>
      <c r="T190" s="46"/>
      <c r="U190" s="50"/>
      <c r="V190" s="46"/>
    </row>
    <row r="191" spans="2:22" s="27" customFormat="1">
      <c r="B191" s="18"/>
      <c r="C191" s="18"/>
      <c r="D191" s="18"/>
      <c r="E191" s="18"/>
      <c r="F191" s="18"/>
      <c r="G191" s="18"/>
      <c r="H191" s="18"/>
      <c r="I191" s="71"/>
      <c r="J191" s="71"/>
      <c r="K191" s="71"/>
      <c r="L191" s="71"/>
      <c r="M191" s="71"/>
      <c r="N191" s="71"/>
      <c r="O191" s="71"/>
      <c r="P191" s="46"/>
      <c r="Q191" s="46"/>
      <c r="R191" s="46"/>
      <c r="S191" s="46"/>
      <c r="T191" s="46"/>
      <c r="U191" s="50"/>
      <c r="V191" s="46"/>
    </row>
    <row r="192" spans="2:22" s="27" customFormat="1">
      <c r="B192" s="18"/>
      <c r="C192" s="18"/>
      <c r="D192" s="18"/>
      <c r="E192" s="18"/>
      <c r="F192" s="18"/>
      <c r="G192" s="18"/>
      <c r="H192" s="18"/>
      <c r="I192" s="71"/>
      <c r="J192" s="71"/>
      <c r="K192" s="71"/>
      <c r="L192" s="71"/>
      <c r="M192" s="71"/>
      <c r="N192" s="71"/>
      <c r="O192" s="71"/>
      <c r="P192" s="46"/>
      <c r="Q192" s="46"/>
      <c r="R192" s="46"/>
      <c r="S192" s="46"/>
      <c r="T192" s="46"/>
      <c r="U192" s="50"/>
      <c r="V192" s="46"/>
    </row>
    <row r="193" spans="2:22" s="27" customFormat="1">
      <c r="B193" s="18"/>
      <c r="C193" s="18"/>
      <c r="D193" s="18"/>
      <c r="E193" s="18"/>
      <c r="F193" s="18"/>
      <c r="G193" s="18"/>
      <c r="H193" s="18"/>
      <c r="I193" s="71"/>
      <c r="J193" s="71"/>
      <c r="K193" s="71"/>
      <c r="L193" s="71"/>
      <c r="M193" s="71"/>
      <c r="N193" s="71"/>
      <c r="O193" s="71"/>
      <c r="P193" s="46"/>
      <c r="Q193" s="46"/>
      <c r="R193" s="46"/>
      <c r="S193" s="46"/>
      <c r="T193" s="46"/>
      <c r="U193" s="50"/>
      <c r="V193" s="46"/>
    </row>
    <row r="194" spans="2:22" s="27" customFormat="1">
      <c r="B194" s="18"/>
      <c r="C194" s="18"/>
      <c r="D194" s="18"/>
      <c r="E194" s="18"/>
      <c r="F194" s="18"/>
      <c r="G194" s="18"/>
      <c r="H194" s="18"/>
      <c r="I194" s="71"/>
      <c r="J194" s="71"/>
      <c r="K194" s="71"/>
      <c r="L194" s="71"/>
      <c r="M194" s="71"/>
      <c r="N194" s="71"/>
      <c r="O194" s="71"/>
      <c r="P194" s="46"/>
      <c r="Q194" s="46"/>
      <c r="R194" s="46"/>
      <c r="S194" s="46"/>
      <c r="T194" s="46"/>
      <c r="U194" s="50"/>
      <c r="V194" s="46"/>
    </row>
    <row r="195" spans="2:22" s="27" customFormat="1">
      <c r="B195" s="18"/>
      <c r="C195" s="18"/>
      <c r="D195" s="18"/>
      <c r="E195" s="18"/>
      <c r="F195" s="18"/>
      <c r="G195" s="18"/>
      <c r="H195" s="18"/>
      <c r="I195" s="71"/>
      <c r="J195" s="71"/>
      <c r="K195" s="71"/>
      <c r="L195" s="71"/>
      <c r="M195" s="71"/>
      <c r="N195" s="71"/>
      <c r="O195" s="71"/>
      <c r="P195" s="46"/>
      <c r="Q195" s="46"/>
      <c r="R195" s="46"/>
      <c r="S195" s="46"/>
      <c r="T195" s="46"/>
      <c r="U195" s="50"/>
      <c r="V195" s="46"/>
    </row>
    <row r="196" spans="2:22" s="27" customFormat="1">
      <c r="B196" s="18"/>
      <c r="C196" s="18"/>
      <c r="D196" s="18"/>
      <c r="E196" s="18"/>
      <c r="F196" s="18"/>
      <c r="G196" s="18"/>
      <c r="H196" s="18"/>
      <c r="I196" s="71"/>
      <c r="J196" s="71"/>
      <c r="K196" s="71"/>
      <c r="L196" s="71"/>
      <c r="M196" s="71"/>
      <c r="N196" s="71"/>
      <c r="O196" s="71"/>
      <c r="P196" s="46"/>
      <c r="Q196" s="46"/>
      <c r="R196" s="46"/>
      <c r="S196" s="46"/>
      <c r="T196" s="46"/>
      <c r="U196" s="50"/>
      <c r="V196" s="46"/>
    </row>
    <row r="197" spans="2:22" s="27" customFormat="1">
      <c r="B197" s="18"/>
      <c r="C197" s="18"/>
      <c r="D197" s="18"/>
      <c r="E197" s="18"/>
      <c r="F197" s="18"/>
      <c r="G197" s="18"/>
      <c r="H197" s="18"/>
      <c r="I197" s="71"/>
      <c r="J197" s="71"/>
      <c r="K197" s="71"/>
      <c r="L197" s="71"/>
      <c r="M197" s="71"/>
      <c r="N197" s="71"/>
      <c r="O197" s="71"/>
      <c r="P197" s="46"/>
      <c r="Q197" s="46"/>
      <c r="R197" s="46"/>
      <c r="S197" s="46"/>
      <c r="T197" s="46"/>
      <c r="U197" s="50"/>
      <c r="V197" s="46"/>
    </row>
    <row r="198" spans="2:22" s="27" customFormat="1">
      <c r="B198" s="18"/>
      <c r="C198" s="18"/>
      <c r="D198" s="18"/>
      <c r="E198" s="18"/>
      <c r="F198" s="18"/>
      <c r="G198" s="18"/>
      <c r="H198" s="18"/>
      <c r="I198" s="71"/>
      <c r="J198" s="71"/>
      <c r="K198" s="71"/>
      <c r="L198" s="71"/>
      <c r="M198" s="71"/>
      <c r="N198" s="71"/>
      <c r="O198" s="71"/>
      <c r="P198" s="46"/>
      <c r="Q198" s="46"/>
      <c r="R198" s="46"/>
      <c r="S198" s="46"/>
      <c r="T198" s="46"/>
      <c r="U198" s="50"/>
      <c r="V198" s="46"/>
    </row>
    <row r="199" spans="2:22" s="27" customFormat="1">
      <c r="B199" s="18"/>
      <c r="C199" s="18"/>
      <c r="D199" s="18"/>
      <c r="E199" s="18"/>
      <c r="F199" s="18"/>
      <c r="G199" s="18"/>
      <c r="H199" s="18"/>
      <c r="I199" s="71"/>
      <c r="J199" s="71"/>
      <c r="K199" s="71"/>
      <c r="L199" s="71"/>
      <c r="M199" s="71"/>
      <c r="N199" s="71"/>
      <c r="O199" s="71"/>
      <c r="P199" s="46"/>
      <c r="Q199" s="46"/>
      <c r="R199" s="46"/>
      <c r="S199" s="46"/>
      <c r="T199" s="46"/>
      <c r="U199" s="50"/>
      <c r="V199" s="46"/>
    </row>
    <row r="200" spans="2:22" s="27" customFormat="1">
      <c r="B200" s="18"/>
      <c r="C200" s="18"/>
      <c r="D200" s="18"/>
      <c r="E200" s="18"/>
      <c r="F200" s="18"/>
      <c r="G200" s="18"/>
      <c r="H200" s="18"/>
      <c r="I200" s="71"/>
      <c r="J200" s="71"/>
      <c r="K200" s="71"/>
      <c r="L200" s="71"/>
      <c r="M200" s="71"/>
      <c r="N200" s="71"/>
      <c r="O200" s="71"/>
      <c r="P200" s="46"/>
      <c r="Q200" s="46"/>
      <c r="R200" s="46"/>
      <c r="S200" s="46"/>
      <c r="T200" s="46"/>
      <c r="U200" s="50"/>
      <c r="V200" s="46"/>
    </row>
    <row r="201" spans="2:22" s="27" customFormat="1">
      <c r="B201" s="18"/>
      <c r="C201" s="18"/>
      <c r="D201" s="18"/>
      <c r="E201" s="18"/>
      <c r="F201" s="18"/>
      <c r="G201" s="18"/>
      <c r="H201" s="18"/>
      <c r="I201" s="71"/>
      <c r="J201" s="71"/>
      <c r="K201" s="71"/>
      <c r="L201" s="71"/>
      <c r="M201" s="71"/>
      <c r="N201" s="71"/>
      <c r="O201" s="71"/>
      <c r="P201" s="46"/>
      <c r="Q201" s="46"/>
      <c r="R201" s="46"/>
      <c r="S201" s="46"/>
      <c r="T201" s="46"/>
      <c r="U201" s="50"/>
      <c r="V201" s="46"/>
    </row>
    <row r="202" spans="2:22" s="27" customFormat="1">
      <c r="B202" s="18"/>
      <c r="C202" s="18"/>
      <c r="D202" s="18"/>
      <c r="E202" s="18"/>
      <c r="F202" s="18"/>
      <c r="G202" s="18"/>
      <c r="H202" s="18"/>
      <c r="I202" s="71"/>
      <c r="J202" s="71"/>
      <c r="K202" s="71"/>
      <c r="L202" s="71"/>
      <c r="M202" s="71"/>
      <c r="N202" s="71"/>
      <c r="O202" s="71"/>
      <c r="P202" s="46"/>
      <c r="Q202" s="46"/>
      <c r="R202" s="46"/>
      <c r="S202" s="46"/>
      <c r="T202" s="46"/>
      <c r="U202" s="50"/>
      <c r="V202" s="46"/>
    </row>
    <row r="203" spans="2:22" s="27" customFormat="1">
      <c r="B203" s="18"/>
      <c r="C203" s="18"/>
      <c r="D203" s="18"/>
      <c r="E203" s="18"/>
      <c r="F203" s="18"/>
      <c r="G203" s="18"/>
      <c r="H203" s="18"/>
      <c r="I203" s="71"/>
      <c r="J203" s="71"/>
      <c r="K203" s="71"/>
      <c r="L203" s="71"/>
      <c r="M203" s="71"/>
      <c r="N203" s="71"/>
      <c r="O203" s="71"/>
      <c r="P203" s="46"/>
      <c r="Q203" s="46"/>
      <c r="R203" s="46"/>
      <c r="S203" s="46"/>
      <c r="T203" s="46"/>
      <c r="U203" s="50"/>
      <c r="V203" s="46"/>
    </row>
    <row r="204" spans="2:22" s="27" customFormat="1">
      <c r="B204" s="18"/>
      <c r="C204" s="18"/>
      <c r="D204" s="18"/>
      <c r="E204" s="18"/>
      <c r="F204" s="18"/>
      <c r="G204" s="18"/>
      <c r="H204" s="18"/>
      <c r="I204" s="71"/>
      <c r="J204" s="71"/>
      <c r="K204" s="71"/>
      <c r="L204" s="71"/>
      <c r="M204" s="71"/>
      <c r="N204" s="71"/>
      <c r="O204" s="71"/>
      <c r="P204" s="46"/>
      <c r="Q204" s="46"/>
      <c r="R204" s="46"/>
      <c r="S204" s="46"/>
      <c r="T204" s="46"/>
      <c r="U204" s="50"/>
      <c r="V204" s="46"/>
    </row>
    <row r="205" spans="2:22" s="27" customFormat="1">
      <c r="B205" s="18"/>
      <c r="C205" s="18"/>
      <c r="D205" s="18"/>
      <c r="E205" s="18"/>
      <c r="F205" s="18"/>
      <c r="G205" s="18"/>
      <c r="H205" s="18"/>
      <c r="I205" s="71"/>
      <c r="J205" s="71"/>
      <c r="K205" s="71"/>
      <c r="L205" s="71"/>
      <c r="M205" s="71"/>
      <c r="N205" s="71"/>
      <c r="O205" s="71"/>
      <c r="P205" s="46"/>
      <c r="Q205" s="46"/>
      <c r="R205" s="46"/>
      <c r="S205" s="46"/>
      <c r="T205" s="46"/>
      <c r="U205" s="50"/>
      <c r="V205" s="46"/>
    </row>
    <row r="206" spans="2:22" s="27" customFormat="1">
      <c r="B206" s="18"/>
      <c r="C206" s="18"/>
      <c r="D206" s="18"/>
      <c r="E206" s="18"/>
      <c r="F206" s="18"/>
      <c r="G206" s="18"/>
      <c r="H206" s="18"/>
      <c r="I206" s="71"/>
      <c r="J206" s="71"/>
      <c r="K206" s="71"/>
      <c r="L206" s="71"/>
      <c r="M206" s="71"/>
      <c r="N206" s="71"/>
      <c r="O206" s="71"/>
      <c r="P206" s="46"/>
      <c r="Q206" s="46"/>
      <c r="R206" s="46"/>
      <c r="S206" s="46"/>
      <c r="T206" s="46"/>
      <c r="U206" s="50"/>
      <c r="V206" s="46"/>
    </row>
    <row r="207" spans="2:22" s="27" customFormat="1">
      <c r="B207" s="18"/>
      <c r="C207" s="18"/>
      <c r="D207" s="18"/>
      <c r="E207" s="18"/>
      <c r="F207" s="18"/>
      <c r="G207" s="18"/>
      <c r="H207" s="18"/>
      <c r="I207" s="71"/>
      <c r="J207" s="71"/>
      <c r="K207" s="71"/>
      <c r="L207" s="71"/>
      <c r="M207" s="71"/>
      <c r="N207" s="71"/>
      <c r="O207" s="71"/>
      <c r="P207" s="46"/>
      <c r="Q207" s="46"/>
      <c r="R207" s="46"/>
      <c r="S207" s="46"/>
      <c r="T207" s="46"/>
      <c r="U207" s="50"/>
      <c r="V207" s="46"/>
    </row>
    <row r="208" spans="2:22" s="27" customFormat="1">
      <c r="B208" s="18"/>
      <c r="C208" s="18"/>
      <c r="D208" s="18"/>
      <c r="E208" s="18"/>
      <c r="F208" s="18"/>
      <c r="G208" s="18"/>
      <c r="H208" s="18"/>
      <c r="I208" s="71"/>
      <c r="J208" s="71"/>
      <c r="K208" s="71"/>
      <c r="L208" s="71"/>
      <c r="M208" s="71"/>
      <c r="N208" s="71"/>
      <c r="O208" s="71"/>
      <c r="P208" s="46"/>
      <c r="Q208" s="46"/>
      <c r="R208" s="46"/>
      <c r="S208" s="46"/>
      <c r="T208" s="46"/>
      <c r="U208" s="50"/>
      <c r="V208" s="46"/>
    </row>
    <row r="209" spans="2:22" s="27" customFormat="1">
      <c r="B209" s="18"/>
      <c r="C209" s="18"/>
      <c r="D209" s="18"/>
      <c r="E209" s="18"/>
      <c r="F209" s="18"/>
      <c r="G209" s="18"/>
      <c r="H209" s="18"/>
      <c r="I209" s="71"/>
      <c r="J209" s="71"/>
      <c r="K209" s="71"/>
      <c r="L209" s="71"/>
      <c r="M209" s="71"/>
      <c r="N209" s="71"/>
      <c r="O209" s="71"/>
      <c r="P209" s="46"/>
      <c r="Q209" s="46"/>
      <c r="R209" s="46"/>
      <c r="S209" s="46"/>
      <c r="T209" s="46"/>
      <c r="U209" s="50"/>
      <c r="V209" s="46"/>
    </row>
    <row r="210" spans="2:22" s="27" customFormat="1">
      <c r="B210" s="18"/>
      <c r="C210" s="18"/>
      <c r="D210" s="18"/>
      <c r="E210" s="18"/>
      <c r="F210" s="18"/>
      <c r="G210" s="18"/>
      <c r="H210" s="18"/>
      <c r="I210" s="71"/>
      <c r="J210" s="71"/>
      <c r="K210" s="71"/>
      <c r="L210" s="71"/>
      <c r="M210" s="71"/>
      <c r="N210" s="71"/>
      <c r="O210" s="71"/>
      <c r="P210" s="46"/>
      <c r="Q210" s="46"/>
      <c r="R210" s="46"/>
      <c r="S210" s="46"/>
      <c r="T210" s="46"/>
      <c r="U210" s="50"/>
      <c r="V210" s="46"/>
    </row>
    <row r="211" spans="2:22" s="27" customFormat="1">
      <c r="B211" s="18"/>
      <c r="C211" s="18"/>
      <c r="D211" s="18"/>
      <c r="E211" s="18"/>
      <c r="F211" s="18"/>
      <c r="G211" s="18"/>
      <c r="H211" s="18"/>
      <c r="I211" s="71"/>
      <c r="J211" s="71"/>
      <c r="K211" s="71"/>
      <c r="L211" s="71"/>
      <c r="M211" s="71"/>
      <c r="N211" s="71"/>
      <c r="O211" s="71"/>
      <c r="P211" s="46"/>
      <c r="Q211" s="46"/>
      <c r="R211" s="46"/>
      <c r="S211" s="46"/>
      <c r="T211" s="46"/>
      <c r="U211" s="50"/>
      <c r="V211" s="46"/>
    </row>
    <row r="212" spans="2:22" s="27" customFormat="1">
      <c r="B212" s="18"/>
      <c r="C212" s="18"/>
      <c r="D212" s="18"/>
      <c r="E212" s="18"/>
      <c r="F212" s="18"/>
      <c r="G212" s="18"/>
      <c r="H212" s="18"/>
      <c r="I212" s="71"/>
      <c r="J212" s="71"/>
      <c r="K212" s="71"/>
      <c r="L212" s="71"/>
      <c r="M212" s="71"/>
      <c r="N212" s="71"/>
      <c r="O212" s="71"/>
      <c r="P212" s="46"/>
      <c r="Q212" s="46"/>
      <c r="R212" s="46"/>
      <c r="S212" s="46"/>
      <c r="T212" s="46"/>
      <c r="U212" s="50"/>
      <c r="V212" s="46"/>
    </row>
    <row r="213" spans="2:22" s="27" customFormat="1">
      <c r="B213" s="18"/>
      <c r="C213" s="18"/>
      <c r="D213" s="18"/>
      <c r="E213" s="18"/>
      <c r="F213" s="18"/>
      <c r="G213" s="18"/>
      <c r="H213" s="18"/>
      <c r="I213" s="71"/>
      <c r="J213" s="71"/>
      <c r="K213" s="71"/>
      <c r="L213" s="71"/>
      <c r="M213" s="71"/>
      <c r="N213" s="71"/>
      <c r="O213" s="71"/>
      <c r="P213" s="46"/>
      <c r="Q213" s="46"/>
      <c r="R213" s="46"/>
      <c r="S213" s="46"/>
      <c r="T213" s="46"/>
      <c r="U213" s="50"/>
      <c r="V213" s="46"/>
    </row>
    <row r="214" spans="2:22" s="27" customFormat="1">
      <c r="B214" s="18"/>
      <c r="C214" s="18"/>
      <c r="D214" s="18"/>
      <c r="E214" s="18"/>
      <c r="F214" s="18"/>
      <c r="G214" s="18"/>
      <c r="H214" s="18"/>
      <c r="I214" s="71"/>
      <c r="J214" s="71"/>
      <c r="K214" s="71"/>
      <c r="L214" s="71"/>
      <c r="M214" s="71"/>
      <c r="N214" s="71"/>
      <c r="O214" s="71"/>
      <c r="P214" s="46"/>
      <c r="Q214" s="46"/>
      <c r="R214" s="46"/>
      <c r="S214" s="46"/>
      <c r="T214" s="46"/>
      <c r="U214" s="50"/>
      <c r="V214" s="46"/>
    </row>
    <row r="215" spans="2:22" s="27" customFormat="1">
      <c r="B215" s="18"/>
      <c r="C215" s="18"/>
      <c r="D215" s="18"/>
      <c r="E215" s="18"/>
      <c r="F215" s="18"/>
      <c r="G215" s="18"/>
      <c r="H215" s="18"/>
      <c r="I215" s="71"/>
      <c r="J215" s="71"/>
      <c r="K215" s="71"/>
      <c r="L215" s="71"/>
      <c r="M215" s="71"/>
      <c r="N215" s="71"/>
      <c r="O215" s="71"/>
      <c r="P215" s="46"/>
      <c r="Q215" s="46"/>
      <c r="R215" s="46"/>
      <c r="S215" s="46"/>
      <c r="T215" s="46"/>
      <c r="U215" s="50"/>
      <c r="V215" s="46"/>
    </row>
    <row r="216" spans="2:22" s="27" customFormat="1">
      <c r="B216" s="18"/>
      <c r="C216" s="18"/>
      <c r="D216" s="18"/>
      <c r="E216" s="18"/>
      <c r="F216" s="18"/>
      <c r="G216" s="18"/>
      <c r="H216" s="18"/>
      <c r="I216" s="71"/>
      <c r="J216" s="71"/>
      <c r="K216" s="71"/>
      <c r="L216" s="71"/>
      <c r="M216" s="71"/>
      <c r="N216" s="71"/>
      <c r="O216" s="71"/>
      <c r="P216" s="46"/>
      <c r="Q216" s="46"/>
      <c r="R216" s="46"/>
      <c r="S216" s="46"/>
      <c r="T216" s="46"/>
      <c r="U216" s="50"/>
      <c r="V216" s="46"/>
    </row>
    <row r="217" spans="2:22" s="27" customFormat="1">
      <c r="B217" s="18"/>
      <c r="C217" s="18"/>
      <c r="D217" s="18"/>
      <c r="E217" s="18"/>
      <c r="F217" s="18"/>
      <c r="G217" s="18"/>
      <c r="H217" s="18"/>
      <c r="I217" s="71"/>
      <c r="J217" s="71"/>
      <c r="K217" s="71"/>
      <c r="L217" s="71"/>
      <c r="M217" s="71"/>
      <c r="N217" s="71"/>
      <c r="O217" s="71"/>
      <c r="P217" s="46"/>
      <c r="Q217" s="46"/>
      <c r="R217" s="46"/>
      <c r="S217" s="46"/>
      <c r="T217" s="46"/>
      <c r="U217" s="50"/>
      <c r="V217" s="46"/>
    </row>
    <row r="218" spans="2:22" s="27" customFormat="1">
      <c r="B218" s="18"/>
      <c r="C218" s="18"/>
      <c r="D218" s="18"/>
      <c r="E218" s="18"/>
      <c r="F218" s="18"/>
      <c r="G218" s="18"/>
      <c r="H218" s="18"/>
      <c r="I218" s="71"/>
      <c r="J218" s="71"/>
      <c r="K218" s="71"/>
      <c r="L218" s="71"/>
      <c r="M218" s="71"/>
      <c r="N218" s="71"/>
      <c r="O218" s="71"/>
      <c r="P218" s="46"/>
      <c r="Q218" s="46"/>
      <c r="R218" s="46"/>
      <c r="S218" s="46"/>
      <c r="T218" s="46"/>
      <c r="U218" s="50"/>
      <c r="V218" s="46"/>
    </row>
    <row r="219" spans="2:22" s="27" customFormat="1">
      <c r="B219" s="18"/>
      <c r="C219" s="18"/>
      <c r="D219" s="18"/>
      <c r="E219" s="18"/>
      <c r="F219" s="18"/>
      <c r="G219" s="18"/>
      <c r="H219" s="18"/>
      <c r="I219" s="71"/>
      <c r="J219" s="71"/>
      <c r="K219" s="71"/>
      <c r="L219" s="71"/>
      <c r="M219" s="71"/>
      <c r="N219" s="71"/>
      <c r="O219" s="71"/>
      <c r="P219" s="46"/>
      <c r="Q219" s="46"/>
      <c r="R219" s="46"/>
      <c r="S219" s="46"/>
      <c r="T219" s="46"/>
      <c r="U219" s="50"/>
      <c r="V219" s="46"/>
    </row>
    <row r="220" spans="2:22" s="27" customFormat="1">
      <c r="B220" s="18"/>
      <c r="C220" s="18"/>
      <c r="D220" s="18"/>
      <c r="E220" s="18"/>
      <c r="F220" s="18"/>
      <c r="G220" s="18"/>
      <c r="H220" s="18"/>
      <c r="I220" s="71"/>
      <c r="J220" s="71"/>
      <c r="K220" s="71"/>
      <c r="L220" s="71"/>
      <c r="M220" s="71"/>
      <c r="N220" s="71"/>
      <c r="O220" s="71"/>
      <c r="P220" s="46"/>
      <c r="Q220" s="46"/>
      <c r="R220" s="46"/>
      <c r="S220" s="46"/>
      <c r="T220" s="46"/>
      <c r="U220" s="50"/>
      <c r="V220" s="46"/>
    </row>
    <row r="221" spans="2:22" s="27" customFormat="1">
      <c r="B221" s="18"/>
      <c r="C221" s="18"/>
      <c r="D221" s="18"/>
      <c r="E221" s="18"/>
      <c r="F221" s="18"/>
      <c r="G221" s="18"/>
      <c r="H221" s="18"/>
      <c r="I221" s="71"/>
      <c r="J221" s="71"/>
      <c r="K221" s="71"/>
      <c r="L221" s="71"/>
      <c r="M221" s="71"/>
      <c r="N221" s="71"/>
      <c r="O221" s="71"/>
      <c r="P221" s="46"/>
      <c r="Q221" s="46"/>
      <c r="R221" s="46"/>
      <c r="S221" s="46"/>
      <c r="T221" s="46"/>
      <c r="U221" s="50"/>
      <c r="V221" s="46"/>
    </row>
    <row r="222" spans="2:22" s="27" customFormat="1">
      <c r="B222" s="18"/>
      <c r="C222" s="18"/>
      <c r="D222" s="18"/>
      <c r="E222" s="18"/>
      <c r="F222" s="18"/>
      <c r="G222" s="18"/>
      <c r="H222" s="18"/>
      <c r="I222" s="71"/>
      <c r="J222" s="71"/>
      <c r="K222" s="71"/>
      <c r="L222" s="71"/>
      <c r="M222" s="71"/>
      <c r="N222" s="71"/>
      <c r="O222" s="71"/>
      <c r="P222" s="46"/>
      <c r="Q222" s="46"/>
      <c r="R222" s="46"/>
      <c r="S222" s="46"/>
      <c r="T222" s="46"/>
      <c r="U222" s="50"/>
      <c r="V222" s="46"/>
    </row>
    <row r="223" spans="2:22" s="27" customFormat="1">
      <c r="B223" s="18"/>
      <c r="C223" s="18"/>
      <c r="D223" s="18"/>
      <c r="E223" s="18"/>
      <c r="F223" s="18"/>
      <c r="G223" s="18"/>
      <c r="H223" s="18"/>
      <c r="I223" s="71"/>
      <c r="J223" s="71"/>
      <c r="K223" s="71"/>
      <c r="L223" s="71"/>
      <c r="M223" s="71"/>
      <c r="N223" s="71"/>
      <c r="O223" s="71"/>
      <c r="P223" s="46"/>
      <c r="Q223" s="46"/>
      <c r="R223" s="46"/>
      <c r="S223" s="46"/>
      <c r="T223" s="46"/>
      <c r="U223" s="50"/>
      <c r="V223" s="46"/>
    </row>
    <row r="224" spans="2:22" s="27" customFormat="1">
      <c r="B224" s="18"/>
      <c r="C224" s="18"/>
      <c r="D224" s="18"/>
      <c r="E224" s="18"/>
      <c r="F224" s="18"/>
      <c r="G224" s="18"/>
      <c r="H224" s="18"/>
      <c r="I224" s="71"/>
      <c r="J224" s="71"/>
      <c r="K224" s="71"/>
      <c r="L224" s="71"/>
      <c r="M224" s="71"/>
      <c r="N224" s="71"/>
      <c r="O224" s="71"/>
      <c r="P224" s="46"/>
      <c r="Q224" s="46"/>
      <c r="R224" s="46"/>
      <c r="S224" s="46"/>
      <c r="T224" s="46"/>
      <c r="U224" s="50"/>
      <c r="V224" s="46"/>
    </row>
    <row r="225" spans="2:22" s="27" customFormat="1">
      <c r="B225" s="18"/>
      <c r="C225" s="18"/>
      <c r="D225" s="18"/>
      <c r="E225" s="18"/>
      <c r="F225" s="18"/>
      <c r="G225" s="18"/>
      <c r="H225" s="18"/>
      <c r="I225" s="71"/>
      <c r="J225" s="71"/>
      <c r="K225" s="71"/>
      <c r="L225" s="71"/>
      <c r="M225" s="71"/>
      <c r="N225" s="71"/>
      <c r="O225" s="71"/>
      <c r="P225" s="46"/>
      <c r="Q225" s="46"/>
      <c r="R225" s="46"/>
      <c r="S225" s="46"/>
      <c r="T225" s="46"/>
      <c r="U225" s="50"/>
      <c r="V225" s="46"/>
    </row>
    <row r="226" spans="2:22" s="27" customFormat="1">
      <c r="B226" s="18"/>
      <c r="C226" s="18"/>
      <c r="D226" s="18"/>
      <c r="E226" s="18"/>
      <c r="F226" s="18"/>
      <c r="G226" s="18"/>
      <c r="H226" s="18"/>
      <c r="I226" s="71"/>
      <c r="J226" s="71"/>
      <c r="K226" s="71"/>
      <c r="L226" s="71"/>
      <c r="M226" s="71"/>
      <c r="N226" s="71"/>
      <c r="O226" s="71"/>
      <c r="P226" s="46"/>
      <c r="Q226" s="46"/>
      <c r="R226" s="46"/>
      <c r="S226" s="46"/>
      <c r="T226" s="46"/>
      <c r="U226" s="50"/>
      <c r="V226" s="46"/>
    </row>
    <row r="227" spans="2:22" s="27" customFormat="1">
      <c r="B227" s="18"/>
      <c r="C227" s="18"/>
      <c r="D227" s="18"/>
      <c r="E227" s="18"/>
      <c r="F227" s="18"/>
      <c r="G227" s="18"/>
      <c r="H227" s="18"/>
      <c r="I227" s="71"/>
      <c r="J227" s="71"/>
      <c r="K227" s="71"/>
      <c r="L227" s="71"/>
      <c r="M227" s="71"/>
      <c r="N227" s="71"/>
      <c r="O227" s="71"/>
      <c r="P227" s="46"/>
      <c r="Q227" s="46"/>
      <c r="R227" s="46"/>
      <c r="S227" s="46"/>
      <c r="T227" s="46"/>
      <c r="U227" s="50"/>
      <c r="V227" s="46"/>
    </row>
    <row r="228" spans="2:22" s="27" customFormat="1">
      <c r="B228" s="18"/>
      <c r="C228" s="18"/>
      <c r="D228" s="18"/>
      <c r="E228" s="18"/>
      <c r="F228" s="18"/>
      <c r="G228" s="18"/>
      <c r="H228" s="18"/>
      <c r="I228" s="71"/>
      <c r="J228" s="71"/>
      <c r="K228" s="71"/>
      <c r="L228" s="71"/>
      <c r="M228" s="71"/>
      <c r="N228" s="71"/>
      <c r="O228" s="71"/>
      <c r="P228" s="46"/>
      <c r="Q228" s="46"/>
      <c r="R228" s="46"/>
      <c r="S228" s="46"/>
      <c r="T228" s="46"/>
      <c r="U228" s="50"/>
      <c r="V228" s="46"/>
    </row>
    <row r="229" spans="2:22" s="27" customFormat="1">
      <c r="B229" s="18"/>
      <c r="C229" s="18"/>
      <c r="D229" s="18"/>
      <c r="E229" s="18"/>
      <c r="F229" s="18"/>
      <c r="G229" s="18"/>
      <c r="H229" s="18"/>
      <c r="I229" s="71"/>
      <c r="J229" s="71"/>
      <c r="K229" s="71"/>
      <c r="L229" s="71"/>
      <c r="M229" s="71"/>
      <c r="N229" s="71"/>
      <c r="O229" s="71"/>
      <c r="P229" s="46"/>
      <c r="Q229" s="46"/>
      <c r="R229" s="46"/>
      <c r="S229" s="46"/>
      <c r="T229" s="46"/>
      <c r="U229" s="50"/>
      <c r="V229" s="46"/>
    </row>
    <row r="230" spans="2:22" s="27" customFormat="1">
      <c r="B230" s="18"/>
      <c r="C230" s="18"/>
      <c r="D230" s="18"/>
      <c r="E230" s="18"/>
      <c r="F230" s="18"/>
      <c r="G230" s="18"/>
      <c r="H230" s="18"/>
      <c r="I230" s="71"/>
      <c r="J230" s="71"/>
      <c r="K230" s="71"/>
      <c r="L230" s="71"/>
      <c r="M230" s="71"/>
      <c r="N230" s="71"/>
      <c r="O230" s="71"/>
      <c r="P230" s="46"/>
      <c r="Q230" s="46"/>
      <c r="R230" s="46"/>
      <c r="S230" s="46"/>
      <c r="T230" s="46"/>
      <c r="U230" s="50"/>
      <c r="V230" s="46"/>
    </row>
    <row r="231" spans="2:22" s="27" customFormat="1">
      <c r="B231" s="18"/>
      <c r="C231" s="18"/>
      <c r="D231" s="18"/>
      <c r="E231" s="18"/>
      <c r="F231" s="18"/>
      <c r="G231" s="18"/>
      <c r="H231" s="18"/>
      <c r="I231" s="71"/>
      <c r="J231" s="71"/>
      <c r="K231" s="71"/>
      <c r="L231" s="71"/>
      <c r="M231" s="71"/>
      <c r="N231" s="71"/>
      <c r="O231" s="71"/>
      <c r="P231" s="46"/>
      <c r="Q231" s="46"/>
      <c r="R231" s="46"/>
      <c r="S231" s="46"/>
      <c r="T231" s="46"/>
      <c r="U231" s="50"/>
      <c r="V231" s="46"/>
    </row>
    <row r="232" spans="2:22" s="27" customFormat="1">
      <c r="B232" s="18"/>
      <c r="C232" s="18"/>
      <c r="D232" s="18"/>
      <c r="E232" s="18"/>
      <c r="F232" s="18"/>
      <c r="G232" s="18"/>
      <c r="H232" s="18"/>
      <c r="I232" s="71"/>
      <c r="J232" s="71"/>
      <c r="K232" s="71"/>
      <c r="L232" s="71"/>
      <c r="M232" s="71"/>
      <c r="N232" s="71"/>
      <c r="O232" s="71"/>
      <c r="P232" s="46"/>
      <c r="Q232" s="46"/>
      <c r="R232" s="46"/>
      <c r="S232" s="46"/>
      <c r="T232" s="46"/>
      <c r="U232" s="50"/>
      <c r="V232" s="46"/>
    </row>
    <row r="233" spans="2:22" s="27" customFormat="1">
      <c r="B233" s="18"/>
      <c r="C233" s="18"/>
      <c r="D233" s="18"/>
      <c r="E233" s="18"/>
      <c r="F233" s="18"/>
      <c r="G233" s="18"/>
      <c r="H233" s="18"/>
      <c r="I233" s="71"/>
      <c r="J233" s="71"/>
      <c r="K233" s="71"/>
      <c r="L233" s="71"/>
      <c r="M233" s="71"/>
      <c r="N233" s="71"/>
      <c r="O233" s="71"/>
      <c r="P233" s="46"/>
      <c r="Q233" s="46"/>
      <c r="R233" s="46"/>
      <c r="S233" s="46"/>
      <c r="T233" s="46"/>
      <c r="U233" s="50"/>
      <c r="V233" s="46"/>
    </row>
    <row r="234" spans="2:22" s="27" customFormat="1">
      <c r="B234" s="18"/>
      <c r="C234" s="18"/>
      <c r="D234" s="18"/>
      <c r="E234" s="18"/>
      <c r="F234" s="18"/>
      <c r="G234" s="18"/>
      <c r="H234" s="18"/>
      <c r="I234" s="71"/>
      <c r="J234" s="71"/>
      <c r="K234" s="71"/>
      <c r="L234" s="71"/>
      <c r="M234" s="71"/>
      <c r="N234" s="71"/>
      <c r="O234" s="71"/>
      <c r="P234" s="46"/>
      <c r="Q234" s="46"/>
      <c r="R234" s="46"/>
      <c r="S234" s="46"/>
      <c r="T234" s="46"/>
      <c r="U234" s="50"/>
      <c r="V234" s="46"/>
    </row>
    <row r="235" spans="2:22" s="27" customFormat="1">
      <c r="B235" s="18"/>
      <c r="C235" s="18"/>
      <c r="D235" s="18"/>
      <c r="E235" s="18"/>
      <c r="F235" s="18"/>
      <c r="G235" s="18"/>
      <c r="H235" s="18"/>
      <c r="I235" s="71"/>
      <c r="J235" s="71"/>
      <c r="K235" s="71"/>
      <c r="L235" s="71"/>
      <c r="M235" s="71"/>
      <c r="N235" s="71"/>
      <c r="O235" s="71"/>
      <c r="P235" s="46"/>
      <c r="Q235" s="46"/>
      <c r="R235" s="46"/>
      <c r="S235" s="46"/>
      <c r="T235" s="46"/>
      <c r="U235" s="50"/>
      <c r="V235" s="46"/>
    </row>
    <row r="236" spans="2:22" s="27" customFormat="1">
      <c r="B236" s="18"/>
      <c r="C236" s="18"/>
      <c r="D236" s="18"/>
      <c r="E236" s="18"/>
      <c r="F236" s="18"/>
      <c r="G236" s="18"/>
      <c r="H236" s="18"/>
      <c r="I236" s="71"/>
      <c r="J236" s="71"/>
      <c r="K236" s="71"/>
      <c r="L236" s="71"/>
      <c r="M236" s="71"/>
      <c r="N236" s="71"/>
      <c r="O236" s="71"/>
      <c r="P236" s="46"/>
      <c r="Q236" s="46"/>
      <c r="R236" s="46"/>
      <c r="S236" s="46"/>
      <c r="T236" s="46"/>
      <c r="U236" s="50"/>
      <c r="V236" s="46"/>
    </row>
    <row r="237" spans="2:22" s="27" customFormat="1">
      <c r="B237" s="18"/>
      <c r="C237" s="18"/>
      <c r="D237" s="18"/>
      <c r="E237" s="18"/>
      <c r="F237" s="18"/>
      <c r="G237" s="18"/>
      <c r="H237" s="18"/>
      <c r="I237" s="71"/>
      <c r="J237" s="71"/>
      <c r="K237" s="71"/>
      <c r="L237" s="71"/>
      <c r="M237" s="71"/>
      <c r="N237" s="71"/>
      <c r="O237" s="71"/>
      <c r="P237" s="46"/>
      <c r="Q237" s="46"/>
      <c r="R237" s="46"/>
      <c r="S237" s="46"/>
      <c r="T237" s="46"/>
      <c r="U237" s="50"/>
      <c r="V237" s="46"/>
    </row>
    <row r="238" spans="2:22" s="27" customFormat="1">
      <c r="B238" s="18"/>
      <c r="C238" s="18"/>
      <c r="D238" s="18"/>
      <c r="E238" s="18"/>
      <c r="F238" s="18"/>
      <c r="G238" s="18"/>
      <c r="H238" s="18"/>
      <c r="I238" s="71"/>
      <c r="J238" s="71"/>
      <c r="K238" s="71"/>
      <c r="L238" s="71"/>
      <c r="M238" s="71"/>
      <c r="N238" s="71"/>
      <c r="O238" s="71"/>
      <c r="P238" s="46"/>
      <c r="Q238" s="46"/>
      <c r="R238" s="46"/>
      <c r="S238" s="46"/>
      <c r="T238" s="46"/>
      <c r="U238" s="50"/>
      <c r="V238" s="46"/>
    </row>
    <row r="239" spans="2:22" s="27" customFormat="1">
      <c r="B239" s="18"/>
      <c r="C239" s="18"/>
      <c r="D239" s="18"/>
      <c r="E239" s="18"/>
      <c r="F239" s="18"/>
      <c r="G239" s="18"/>
      <c r="H239" s="18"/>
      <c r="I239" s="71"/>
      <c r="J239" s="71"/>
      <c r="K239" s="71"/>
      <c r="L239" s="71"/>
      <c r="M239" s="71"/>
      <c r="N239" s="71"/>
      <c r="O239" s="71"/>
      <c r="P239" s="46"/>
      <c r="Q239" s="46"/>
      <c r="R239" s="46"/>
      <c r="S239" s="46"/>
      <c r="T239" s="46"/>
      <c r="U239" s="50"/>
      <c r="V239" s="46"/>
    </row>
    <row r="240" spans="2:22" s="27" customFormat="1">
      <c r="B240" s="18"/>
      <c r="C240" s="18"/>
      <c r="D240" s="18"/>
      <c r="E240" s="18"/>
      <c r="F240" s="18"/>
      <c r="G240" s="18"/>
      <c r="H240" s="18"/>
      <c r="I240" s="71"/>
      <c r="J240" s="71"/>
      <c r="K240" s="71"/>
      <c r="L240" s="71"/>
      <c r="M240" s="71"/>
      <c r="N240" s="71"/>
      <c r="O240" s="71"/>
      <c r="P240" s="46"/>
      <c r="Q240" s="46"/>
      <c r="R240" s="46"/>
      <c r="S240" s="46"/>
      <c r="T240" s="46"/>
      <c r="U240" s="50"/>
      <c r="V240" s="46"/>
    </row>
    <row r="241" spans="2:22" s="27" customFormat="1">
      <c r="B241" s="18"/>
      <c r="C241" s="18"/>
      <c r="D241" s="18"/>
      <c r="E241" s="18"/>
      <c r="F241" s="18"/>
      <c r="G241" s="18"/>
      <c r="H241" s="18"/>
      <c r="I241" s="71"/>
      <c r="J241" s="71"/>
      <c r="K241" s="71"/>
      <c r="L241" s="71"/>
      <c r="M241" s="71"/>
      <c r="N241" s="71"/>
      <c r="O241" s="71"/>
      <c r="P241" s="46"/>
      <c r="Q241" s="46"/>
      <c r="R241" s="46"/>
      <c r="S241" s="46"/>
      <c r="T241" s="46"/>
      <c r="U241" s="50"/>
      <c r="V241" s="46"/>
    </row>
    <row r="242" spans="2:22" s="27" customFormat="1">
      <c r="B242" s="18"/>
      <c r="C242" s="18"/>
      <c r="D242" s="18"/>
      <c r="E242" s="18"/>
      <c r="F242" s="18"/>
      <c r="G242" s="18"/>
      <c r="H242" s="18"/>
      <c r="I242" s="71"/>
      <c r="J242" s="71"/>
      <c r="K242" s="71"/>
      <c r="L242" s="71"/>
      <c r="M242" s="71"/>
      <c r="N242" s="71"/>
      <c r="O242" s="71"/>
      <c r="P242" s="46"/>
      <c r="Q242" s="46"/>
      <c r="R242" s="46"/>
      <c r="S242" s="46"/>
      <c r="T242" s="46"/>
      <c r="U242" s="50"/>
      <c r="V242" s="46"/>
    </row>
    <row r="243" spans="2:22" s="27" customFormat="1">
      <c r="B243" s="18"/>
      <c r="C243" s="18"/>
      <c r="D243" s="18"/>
      <c r="E243" s="18"/>
      <c r="F243" s="18"/>
      <c r="G243" s="18"/>
      <c r="H243" s="18"/>
      <c r="I243" s="71"/>
      <c r="J243" s="71"/>
      <c r="K243" s="71"/>
      <c r="L243" s="71"/>
      <c r="M243" s="71"/>
      <c r="N243" s="71"/>
      <c r="O243" s="71"/>
      <c r="P243" s="46"/>
      <c r="Q243" s="46"/>
      <c r="R243" s="46"/>
      <c r="S243" s="46"/>
      <c r="T243" s="46"/>
      <c r="U243" s="50"/>
      <c r="V243" s="46"/>
    </row>
    <row r="244" spans="2:22" s="27" customFormat="1">
      <c r="B244" s="18"/>
      <c r="C244" s="18"/>
      <c r="D244" s="18"/>
      <c r="E244" s="18"/>
      <c r="F244" s="18"/>
      <c r="G244" s="18"/>
      <c r="H244" s="18"/>
      <c r="I244" s="71"/>
      <c r="J244" s="71"/>
      <c r="K244" s="71"/>
      <c r="L244" s="71"/>
      <c r="M244" s="71"/>
      <c r="N244" s="71"/>
      <c r="O244" s="71"/>
      <c r="P244" s="46"/>
      <c r="Q244" s="46"/>
      <c r="R244" s="46"/>
      <c r="S244" s="46"/>
      <c r="T244" s="46"/>
      <c r="U244" s="50"/>
      <c r="V244" s="46"/>
    </row>
    <row r="245" spans="2:22" s="27" customFormat="1">
      <c r="B245" s="18"/>
      <c r="C245" s="18"/>
      <c r="D245" s="18"/>
      <c r="E245" s="18"/>
      <c r="F245" s="18"/>
      <c r="G245" s="18"/>
      <c r="H245" s="18"/>
      <c r="I245" s="71"/>
      <c r="J245" s="71"/>
      <c r="K245" s="71"/>
      <c r="L245" s="71"/>
      <c r="M245" s="71"/>
      <c r="N245" s="71"/>
      <c r="O245" s="71"/>
      <c r="P245" s="46"/>
      <c r="Q245" s="46"/>
      <c r="R245" s="46"/>
      <c r="S245" s="46"/>
      <c r="T245" s="46"/>
      <c r="U245" s="50"/>
      <c r="V245" s="46"/>
    </row>
    <row r="246" spans="2:22" s="27" customFormat="1">
      <c r="B246" s="18"/>
      <c r="C246" s="18"/>
      <c r="D246" s="18"/>
      <c r="E246" s="18"/>
      <c r="F246" s="18"/>
      <c r="G246" s="18"/>
      <c r="H246" s="18"/>
      <c r="I246" s="71"/>
      <c r="J246" s="71"/>
      <c r="K246" s="71"/>
      <c r="L246" s="71"/>
      <c r="M246" s="71"/>
      <c r="N246" s="71"/>
      <c r="O246" s="71"/>
      <c r="P246" s="46"/>
      <c r="Q246" s="46"/>
      <c r="R246" s="46"/>
      <c r="S246" s="46"/>
      <c r="T246" s="46"/>
      <c r="U246" s="50"/>
      <c r="V246" s="46"/>
    </row>
    <row r="247" spans="2:22" s="27" customFormat="1">
      <c r="B247" s="18"/>
      <c r="C247" s="18"/>
      <c r="D247" s="18"/>
      <c r="E247" s="18"/>
      <c r="F247" s="18"/>
      <c r="G247" s="18"/>
      <c r="H247" s="18"/>
      <c r="I247" s="71"/>
      <c r="J247" s="71"/>
      <c r="K247" s="71"/>
      <c r="L247" s="71"/>
      <c r="M247" s="71"/>
      <c r="N247" s="71"/>
      <c r="O247" s="71"/>
      <c r="P247" s="46"/>
      <c r="Q247" s="46"/>
      <c r="R247" s="46"/>
      <c r="S247" s="46"/>
      <c r="T247" s="46"/>
      <c r="U247" s="50"/>
      <c r="V247" s="46"/>
    </row>
    <row r="248" spans="2:22" s="27" customFormat="1">
      <c r="B248" s="18"/>
      <c r="C248" s="18"/>
      <c r="D248" s="18"/>
      <c r="E248" s="18"/>
      <c r="F248" s="18"/>
      <c r="G248" s="18"/>
      <c r="H248" s="18"/>
      <c r="I248" s="71"/>
      <c r="J248" s="71"/>
      <c r="K248" s="71"/>
      <c r="L248" s="71"/>
      <c r="M248" s="71"/>
      <c r="N248" s="71"/>
      <c r="O248" s="71"/>
      <c r="P248" s="46"/>
      <c r="Q248" s="46"/>
      <c r="R248" s="46"/>
      <c r="S248" s="46"/>
      <c r="T248" s="46"/>
      <c r="U248" s="50"/>
      <c r="V248" s="46"/>
    </row>
    <row r="249" spans="2:22" s="27" customFormat="1">
      <c r="B249" s="18"/>
      <c r="C249" s="18"/>
      <c r="D249" s="18"/>
      <c r="E249" s="18"/>
      <c r="F249" s="18"/>
      <c r="G249" s="18"/>
      <c r="H249" s="18"/>
      <c r="I249" s="71"/>
      <c r="J249" s="71"/>
      <c r="K249" s="71"/>
      <c r="L249" s="71"/>
      <c r="M249" s="71"/>
      <c r="N249" s="71"/>
      <c r="O249" s="71"/>
      <c r="P249" s="46"/>
      <c r="Q249" s="46"/>
      <c r="R249" s="46"/>
      <c r="S249" s="46"/>
      <c r="T249" s="46"/>
      <c r="U249" s="50"/>
      <c r="V249" s="46"/>
    </row>
    <row r="250" spans="2:22" s="27" customFormat="1">
      <c r="B250" s="18"/>
      <c r="C250" s="18"/>
      <c r="D250" s="18"/>
      <c r="E250" s="18"/>
      <c r="F250" s="18"/>
      <c r="G250" s="18"/>
      <c r="H250" s="18"/>
      <c r="I250" s="71"/>
      <c r="J250" s="71"/>
      <c r="K250" s="71"/>
      <c r="L250" s="71"/>
      <c r="M250" s="71"/>
      <c r="N250" s="71"/>
      <c r="O250" s="71"/>
      <c r="P250" s="46"/>
      <c r="Q250" s="46"/>
      <c r="R250" s="46"/>
      <c r="S250" s="46"/>
      <c r="T250" s="46"/>
      <c r="U250" s="50"/>
      <c r="V250" s="46"/>
    </row>
    <row r="251" spans="2:22" s="27" customFormat="1">
      <c r="B251" s="18"/>
      <c r="C251" s="18"/>
      <c r="D251" s="18"/>
      <c r="E251" s="18"/>
      <c r="F251" s="18"/>
      <c r="G251" s="18"/>
      <c r="H251" s="18"/>
      <c r="I251" s="71"/>
      <c r="J251" s="71"/>
      <c r="K251" s="71"/>
      <c r="L251" s="71"/>
      <c r="M251" s="71"/>
      <c r="N251" s="71"/>
      <c r="O251" s="71"/>
      <c r="P251" s="46"/>
      <c r="Q251" s="46"/>
      <c r="R251" s="46"/>
      <c r="S251" s="46"/>
      <c r="T251" s="46"/>
      <c r="U251" s="50"/>
      <c r="V251" s="46"/>
    </row>
    <row r="252" spans="2:22" s="27" customFormat="1">
      <c r="B252" s="18"/>
      <c r="C252" s="18"/>
      <c r="D252" s="18"/>
      <c r="E252" s="18"/>
      <c r="F252" s="18"/>
      <c r="G252" s="18"/>
      <c r="H252" s="18"/>
      <c r="I252" s="71"/>
      <c r="J252" s="71"/>
      <c r="K252" s="71"/>
      <c r="L252" s="71"/>
      <c r="M252" s="71"/>
      <c r="N252" s="71"/>
      <c r="O252" s="71"/>
      <c r="P252" s="46"/>
      <c r="Q252" s="46"/>
      <c r="R252" s="46"/>
      <c r="S252" s="46"/>
      <c r="T252" s="46"/>
      <c r="U252" s="50"/>
      <c r="V252" s="46"/>
    </row>
    <row r="253" spans="2:22" s="27" customFormat="1">
      <c r="B253" s="18"/>
      <c r="C253" s="18"/>
      <c r="D253" s="18"/>
      <c r="E253" s="18"/>
      <c r="F253" s="18"/>
      <c r="G253" s="18"/>
      <c r="H253" s="18"/>
      <c r="I253" s="71"/>
      <c r="J253" s="71"/>
      <c r="K253" s="71"/>
      <c r="L253" s="71"/>
      <c r="M253" s="71"/>
      <c r="N253" s="71"/>
      <c r="O253" s="71"/>
      <c r="P253" s="46"/>
      <c r="Q253" s="46"/>
      <c r="R253" s="46"/>
      <c r="S253" s="46"/>
      <c r="T253" s="46"/>
      <c r="U253" s="50"/>
      <c r="V253" s="46"/>
    </row>
    <row r="254" spans="2:22" s="27" customFormat="1">
      <c r="B254" s="18"/>
      <c r="C254" s="18"/>
      <c r="D254" s="18"/>
      <c r="E254" s="18"/>
      <c r="F254" s="18"/>
      <c r="G254" s="18"/>
      <c r="H254" s="18"/>
      <c r="I254" s="71"/>
      <c r="J254" s="71"/>
      <c r="K254" s="71"/>
      <c r="L254" s="71"/>
      <c r="M254" s="71"/>
      <c r="N254" s="71"/>
      <c r="O254" s="71"/>
      <c r="P254" s="46"/>
      <c r="Q254" s="46"/>
      <c r="R254" s="46"/>
      <c r="S254" s="46"/>
      <c r="T254" s="46"/>
      <c r="U254" s="50"/>
      <c r="V254" s="46"/>
    </row>
    <row r="255" spans="2:22" s="27" customFormat="1">
      <c r="B255" s="18"/>
      <c r="C255" s="18"/>
      <c r="D255" s="18"/>
      <c r="E255" s="18"/>
      <c r="F255" s="18"/>
      <c r="G255" s="18"/>
      <c r="H255" s="18"/>
      <c r="I255" s="71"/>
      <c r="J255" s="71"/>
      <c r="K255" s="71"/>
      <c r="L255" s="71"/>
      <c r="M255" s="71"/>
      <c r="N255" s="71"/>
      <c r="O255" s="71"/>
      <c r="P255" s="46"/>
      <c r="Q255" s="46"/>
      <c r="R255" s="46"/>
      <c r="S255" s="46"/>
      <c r="T255" s="46"/>
      <c r="U255" s="50"/>
      <c r="V255" s="46"/>
    </row>
    <row r="256" spans="2:22" s="27" customFormat="1">
      <c r="B256" s="18"/>
      <c r="C256" s="18"/>
      <c r="D256" s="18"/>
      <c r="E256" s="18"/>
      <c r="F256" s="18"/>
      <c r="G256" s="18"/>
      <c r="H256" s="18"/>
      <c r="I256" s="71"/>
      <c r="J256" s="71"/>
      <c r="K256" s="71"/>
      <c r="L256" s="71"/>
      <c r="M256" s="71"/>
      <c r="N256" s="71"/>
      <c r="O256" s="71"/>
      <c r="P256" s="46"/>
      <c r="Q256" s="46"/>
      <c r="R256" s="46"/>
      <c r="S256" s="46"/>
      <c r="T256" s="46"/>
      <c r="U256" s="50"/>
      <c r="V256" s="46"/>
    </row>
    <row r="257" spans="2:22" s="27" customFormat="1">
      <c r="B257" s="18"/>
      <c r="C257" s="18"/>
      <c r="D257" s="18"/>
      <c r="E257" s="18"/>
      <c r="F257" s="18"/>
      <c r="G257" s="18"/>
      <c r="H257" s="18"/>
      <c r="I257" s="71"/>
      <c r="J257" s="71"/>
      <c r="K257" s="71"/>
      <c r="L257" s="71"/>
      <c r="M257" s="71"/>
      <c r="N257" s="71"/>
      <c r="O257" s="71"/>
      <c r="P257" s="46"/>
      <c r="Q257" s="46"/>
      <c r="R257" s="46"/>
      <c r="S257" s="46"/>
      <c r="T257" s="46"/>
      <c r="U257" s="50"/>
      <c r="V257" s="46"/>
    </row>
    <row r="258" spans="2:22" s="27" customFormat="1">
      <c r="B258" s="18"/>
      <c r="C258" s="18"/>
      <c r="D258" s="18"/>
      <c r="E258" s="18"/>
      <c r="F258" s="18"/>
      <c r="G258" s="18"/>
      <c r="H258" s="18"/>
      <c r="I258" s="71"/>
      <c r="J258" s="71"/>
      <c r="K258" s="71"/>
      <c r="L258" s="71"/>
      <c r="M258" s="71"/>
      <c r="N258" s="71"/>
      <c r="O258" s="71"/>
      <c r="P258" s="46"/>
      <c r="Q258" s="46"/>
      <c r="R258" s="46"/>
      <c r="S258" s="46"/>
      <c r="T258" s="46"/>
      <c r="U258" s="50"/>
      <c r="V258" s="46"/>
    </row>
    <row r="259" spans="2:22" s="27" customFormat="1">
      <c r="B259" s="18"/>
      <c r="C259" s="18"/>
      <c r="D259" s="18"/>
      <c r="E259" s="18"/>
      <c r="F259" s="18"/>
      <c r="G259" s="18"/>
      <c r="H259" s="18"/>
      <c r="I259" s="71"/>
      <c r="J259" s="71"/>
      <c r="K259" s="71"/>
      <c r="L259" s="71"/>
      <c r="M259" s="71"/>
      <c r="N259" s="71"/>
      <c r="O259" s="71"/>
      <c r="P259" s="46"/>
      <c r="Q259" s="46"/>
      <c r="R259" s="46"/>
      <c r="S259" s="46"/>
      <c r="T259" s="46"/>
      <c r="U259" s="50"/>
      <c r="V259" s="46"/>
    </row>
    <row r="260" spans="2:22" s="27" customFormat="1">
      <c r="B260" s="18"/>
      <c r="C260" s="18"/>
      <c r="D260" s="18"/>
      <c r="E260" s="18"/>
      <c r="F260" s="18"/>
      <c r="G260" s="18"/>
      <c r="H260" s="18"/>
      <c r="I260" s="71"/>
      <c r="J260" s="71"/>
      <c r="K260" s="71"/>
      <c r="L260" s="71"/>
      <c r="M260" s="71"/>
      <c r="N260" s="71"/>
      <c r="O260" s="71"/>
      <c r="P260" s="46"/>
      <c r="Q260" s="46"/>
      <c r="R260" s="46"/>
      <c r="S260" s="46"/>
      <c r="T260" s="46"/>
      <c r="U260" s="50"/>
      <c r="V260" s="46"/>
    </row>
    <row r="261" spans="2:22" s="27" customFormat="1">
      <c r="B261" s="18"/>
      <c r="C261" s="18"/>
      <c r="D261" s="18"/>
      <c r="E261" s="18"/>
      <c r="F261" s="18"/>
      <c r="G261" s="18"/>
      <c r="H261" s="18"/>
      <c r="I261" s="71"/>
      <c r="J261" s="71"/>
      <c r="K261" s="71"/>
      <c r="L261" s="71"/>
      <c r="M261" s="71"/>
      <c r="N261" s="71"/>
      <c r="O261" s="71"/>
      <c r="P261" s="46"/>
      <c r="Q261" s="46"/>
      <c r="R261" s="46"/>
      <c r="S261" s="46"/>
      <c r="T261" s="46"/>
      <c r="U261" s="50"/>
      <c r="V261" s="46"/>
    </row>
    <row r="262" spans="2:22" s="27" customFormat="1">
      <c r="B262" s="18"/>
      <c r="C262" s="18"/>
      <c r="D262" s="18"/>
      <c r="E262" s="18"/>
      <c r="F262" s="18"/>
      <c r="G262" s="18"/>
      <c r="H262" s="18"/>
      <c r="I262" s="71"/>
      <c r="J262" s="71"/>
      <c r="K262" s="71"/>
      <c r="L262" s="71"/>
      <c r="M262" s="71"/>
      <c r="N262" s="71"/>
      <c r="O262" s="71"/>
      <c r="P262" s="46"/>
      <c r="Q262" s="46"/>
      <c r="R262" s="46"/>
      <c r="S262" s="46"/>
      <c r="T262" s="46"/>
      <c r="U262" s="50"/>
      <c r="V262" s="46"/>
    </row>
    <row r="263" spans="2:22" s="27" customFormat="1">
      <c r="B263" s="18"/>
      <c r="C263" s="18"/>
      <c r="D263" s="18"/>
      <c r="E263" s="18"/>
      <c r="F263" s="18"/>
      <c r="G263" s="18"/>
      <c r="H263" s="18"/>
      <c r="I263" s="71"/>
      <c r="J263" s="71"/>
      <c r="K263" s="71"/>
      <c r="L263" s="71"/>
      <c r="M263" s="71"/>
      <c r="N263" s="71"/>
      <c r="O263" s="71"/>
      <c r="P263" s="46"/>
      <c r="Q263" s="46"/>
      <c r="R263" s="46"/>
      <c r="S263" s="46"/>
      <c r="T263" s="46"/>
      <c r="U263" s="50"/>
      <c r="V263" s="46"/>
    </row>
    <row r="264" spans="2:22" s="27" customFormat="1">
      <c r="B264" s="18"/>
      <c r="C264" s="18"/>
      <c r="D264" s="18"/>
      <c r="E264" s="18"/>
      <c r="F264" s="18"/>
      <c r="G264" s="18"/>
      <c r="H264" s="18"/>
      <c r="I264" s="71"/>
      <c r="J264" s="71"/>
      <c r="K264" s="71"/>
      <c r="L264" s="71"/>
      <c r="M264" s="71"/>
      <c r="N264" s="71"/>
      <c r="O264" s="71"/>
      <c r="P264" s="46"/>
      <c r="Q264" s="46"/>
      <c r="R264" s="46"/>
      <c r="S264" s="46"/>
      <c r="T264" s="46"/>
      <c r="U264" s="50"/>
      <c r="V264" s="46"/>
    </row>
    <row r="265" spans="2:22" s="27" customFormat="1">
      <c r="B265" s="18"/>
      <c r="C265" s="18"/>
      <c r="D265" s="18"/>
      <c r="E265" s="18"/>
      <c r="F265" s="18"/>
      <c r="G265" s="18"/>
      <c r="H265" s="18"/>
      <c r="I265" s="71"/>
      <c r="J265" s="71"/>
      <c r="K265" s="71"/>
      <c r="L265" s="71"/>
      <c r="M265" s="71"/>
      <c r="N265" s="71"/>
      <c r="O265" s="71"/>
      <c r="P265" s="46"/>
      <c r="Q265" s="46"/>
      <c r="R265" s="46"/>
      <c r="S265" s="46"/>
      <c r="T265" s="46"/>
      <c r="U265" s="50"/>
      <c r="V265" s="46"/>
    </row>
    <row r="266" spans="2:22" s="27" customFormat="1">
      <c r="B266" s="18"/>
      <c r="C266" s="18"/>
      <c r="D266" s="18"/>
      <c r="E266" s="18"/>
      <c r="F266" s="18"/>
      <c r="G266" s="18"/>
      <c r="H266" s="18"/>
      <c r="I266" s="71"/>
      <c r="J266" s="71"/>
      <c r="K266" s="71"/>
      <c r="L266" s="71"/>
      <c r="M266" s="71"/>
      <c r="N266" s="71"/>
      <c r="O266" s="71"/>
      <c r="P266" s="46"/>
      <c r="Q266" s="46"/>
      <c r="R266" s="46"/>
      <c r="S266" s="46"/>
      <c r="T266" s="46"/>
      <c r="U266" s="50"/>
      <c r="V266" s="46"/>
    </row>
    <row r="267" spans="2:22" s="27" customFormat="1">
      <c r="B267" s="18"/>
      <c r="C267" s="18"/>
      <c r="D267" s="18"/>
      <c r="E267" s="18"/>
      <c r="F267" s="18"/>
      <c r="G267" s="18"/>
      <c r="H267" s="18"/>
      <c r="I267" s="71"/>
      <c r="J267" s="71"/>
      <c r="K267" s="71"/>
      <c r="L267" s="71"/>
      <c r="M267" s="71"/>
      <c r="N267" s="71"/>
      <c r="O267" s="71"/>
      <c r="P267" s="46"/>
      <c r="Q267" s="46"/>
      <c r="R267" s="46"/>
      <c r="S267" s="46"/>
      <c r="T267" s="46"/>
      <c r="U267" s="50"/>
      <c r="V267" s="46"/>
    </row>
    <row r="268" spans="2:22" s="27" customFormat="1">
      <c r="B268" s="18"/>
      <c r="C268" s="18"/>
      <c r="D268" s="18"/>
      <c r="E268" s="18"/>
      <c r="F268" s="18"/>
      <c r="G268" s="18"/>
      <c r="H268" s="18"/>
      <c r="I268" s="71"/>
      <c r="J268" s="71"/>
      <c r="K268" s="71"/>
      <c r="L268" s="71"/>
      <c r="M268" s="71"/>
      <c r="N268" s="71"/>
      <c r="O268" s="71"/>
      <c r="P268" s="46"/>
      <c r="Q268" s="46"/>
      <c r="R268" s="46"/>
      <c r="S268" s="46"/>
      <c r="T268" s="46"/>
      <c r="U268" s="50"/>
      <c r="V268" s="46"/>
    </row>
    <row r="269" spans="2:22" s="27" customFormat="1">
      <c r="B269" s="18"/>
      <c r="C269" s="18"/>
      <c r="D269" s="18"/>
      <c r="E269" s="18"/>
      <c r="F269" s="18"/>
      <c r="G269" s="18"/>
      <c r="H269" s="18"/>
      <c r="I269" s="71"/>
      <c r="J269" s="71"/>
      <c r="K269" s="71"/>
      <c r="L269" s="71"/>
      <c r="M269" s="71"/>
      <c r="N269" s="71"/>
      <c r="O269" s="71"/>
      <c r="P269" s="46"/>
      <c r="Q269" s="46"/>
      <c r="R269" s="46"/>
      <c r="S269" s="46"/>
      <c r="T269" s="46"/>
      <c r="U269" s="50"/>
      <c r="V269" s="46"/>
    </row>
    <row r="270" spans="2:22" s="27" customFormat="1">
      <c r="B270" s="18"/>
      <c r="C270" s="18"/>
      <c r="D270" s="18"/>
      <c r="E270" s="18"/>
      <c r="F270" s="18"/>
      <c r="G270" s="18"/>
      <c r="H270" s="18"/>
      <c r="I270" s="71"/>
      <c r="J270" s="71"/>
      <c r="K270" s="71"/>
      <c r="L270" s="71"/>
      <c r="M270" s="71"/>
      <c r="N270" s="71"/>
      <c r="O270" s="71"/>
      <c r="P270" s="46"/>
      <c r="Q270" s="46"/>
      <c r="R270" s="46"/>
      <c r="S270" s="46"/>
      <c r="T270" s="46"/>
      <c r="U270" s="50"/>
      <c r="V270" s="46"/>
    </row>
    <row r="271" spans="2:22" s="27" customFormat="1">
      <c r="B271" s="18"/>
      <c r="C271" s="18"/>
      <c r="D271" s="18"/>
      <c r="E271" s="18"/>
      <c r="F271" s="18"/>
      <c r="G271" s="18"/>
      <c r="H271" s="18"/>
      <c r="I271" s="71"/>
      <c r="J271" s="71"/>
      <c r="K271" s="71"/>
      <c r="L271" s="71"/>
      <c r="M271" s="71"/>
      <c r="N271" s="71"/>
      <c r="O271" s="71"/>
      <c r="P271" s="46"/>
      <c r="Q271" s="46"/>
      <c r="R271" s="46"/>
      <c r="S271" s="46"/>
      <c r="T271" s="46"/>
      <c r="U271" s="50"/>
      <c r="V271" s="46"/>
    </row>
    <row r="272" spans="2:22" s="27" customFormat="1">
      <c r="B272" s="18"/>
      <c r="C272" s="18"/>
      <c r="D272" s="18"/>
      <c r="E272" s="18"/>
      <c r="F272" s="18"/>
      <c r="G272" s="18"/>
      <c r="H272" s="18"/>
      <c r="I272" s="71"/>
      <c r="J272" s="71"/>
      <c r="K272" s="71"/>
      <c r="L272" s="71"/>
      <c r="M272" s="71"/>
      <c r="N272" s="71"/>
      <c r="O272" s="71"/>
      <c r="P272" s="46"/>
      <c r="Q272" s="46"/>
      <c r="R272" s="46"/>
      <c r="S272" s="46"/>
      <c r="T272" s="46"/>
      <c r="U272" s="50"/>
      <c r="V272" s="46"/>
    </row>
    <row r="273" spans="2:22" s="27" customFormat="1">
      <c r="B273" s="18"/>
      <c r="C273" s="18"/>
      <c r="D273" s="18"/>
      <c r="E273" s="18"/>
      <c r="F273" s="18"/>
      <c r="G273" s="18"/>
      <c r="H273" s="18"/>
      <c r="I273" s="71"/>
      <c r="J273" s="71"/>
      <c r="K273" s="71"/>
      <c r="L273" s="71"/>
      <c r="M273" s="71"/>
      <c r="N273" s="71"/>
      <c r="O273" s="71"/>
      <c r="P273" s="46"/>
      <c r="Q273" s="46"/>
      <c r="R273" s="46"/>
      <c r="S273" s="46"/>
      <c r="T273" s="46"/>
      <c r="U273" s="50"/>
      <c r="V273" s="46"/>
    </row>
    <row r="274" spans="2:22" s="27" customFormat="1">
      <c r="B274" s="18"/>
      <c r="C274" s="18"/>
      <c r="D274" s="18"/>
      <c r="E274" s="18"/>
      <c r="F274" s="18"/>
      <c r="G274" s="18"/>
      <c r="H274" s="18"/>
      <c r="I274" s="71"/>
      <c r="J274" s="71"/>
      <c r="K274" s="71"/>
      <c r="L274" s="71"/>
      <c r="M274" s="71"/>
      <c r="N274" s="71"/>
      <c r="O274" s="71"/>
      <c r="P274" s="46"/>
      <c r="Q274" s="46"/>
      <c r="R274" s="46"/>
      <c r="S274" s="46"/>
      <c r="T274" s="46"/>
      <c r="U274" s="50"/>
      <c r="V274" s="46"/>
    </row>
    <row r="275" spans="2:22" s="27" customFormat="1">
      <c r="B275" s="18"/>
      <c r="C275" s="18"/>
      <c r="D275" s="18"/>
      <c r="E275" s="18"/>
      <c r="F275" s="18"/>
      <c r="G275" s="18"/>
      <c r="H275" s="18"/>
      <c r="I275" s="71"/>
      <c r="J275" s="71"/>
      <c r="K275" s="71"/>
      <c r="L275" s="71"/>
      <c r="M275" s="71"/>
      <c r="N275" s="71"/>
      <c r="O275" s="71"/>
      <c r="P275" s="46"/>
      <c r="Q275" s="46"/>
      <c r="R275" s="46"/>
      <c r="S275" s="46"/>
      <c r="T275" s="46"/>
      <c r="U275" s="50"/>
      <c r="V275" s="46"/>
    </row>
    <row r="276" spans="2:22" s="27" customFormat="1">
      <c r="B276" s="18"/>
      <c r="C276" s="18"/>
      <c r="D276" s="18"/>
      <c r="E276" s="18"/>
      <c r="F276" s="18"/>
      <c r="G276" s="18"/>
      <c r="H276" s="18"/>
      <c r="I276" s="71"/>
      <c r="J276" s="71"/>
      <c r="K276" s="71"/>
      <c r="L276" s="71"/>
      <c r="M276" s="71"/>
      <c r="N276" s="71"/>
      <c r="O276" s="71"/>
      <c r="P276" s="46"/>
      <c r="Q276" s="46"/>
      <c r="R276" s="46"/>
      <c r="S276" s="46"/>
      <c r="T276" s="46"/>
      <c r="U276" s="50"/>
      <c r="V276" s="46"/>
    </row>
    <row r="277" spans="2:22" s="27" customFormat="1">
      <c r="B277" s="18"/>
      <c r="C277" s="18"/>
      <c r="D277" s="18"/>
      <c r="E277" s="18"/>
      <c r="F277" s="18"/>
      <c r="G277" s="18"/>
      <c r="H277" s="18"/>
      <c r="I277" s="71"/>
      <c r="J277" s="71"/>
      <c r="K277" s="71"/>
      <c r="L277" s="71"/>
      <c r="M277" s="71"/>
      <c r="N277" s="71"/>
      <c r="O277" s="71"/>
      <c r="P277" s="46"/>
      <c r="Q277" s="46"/>
      <c r="R277" s="46"/>
      <c r="S277" s="46"/>
      <c r="T277" s="46"/>
      <c r="U277" s="50"/>
      <c r="V277" s="46"/>
    </row>
    <row r="278" spans="2:22" s="27" customFormat="1">
      <c r="B278" s="18"/>
      <c r="C278" s="18"/>
      <c r="D278" s="18"/>
      <c r="E278" s="18"/>
      <c r="F278" s="18"/>
      <c r="G278" s="18"/>
      <c r="H278" s="18"/>
      <c r="I278" s="71"/>
      <c r="J278" s="71"/>
      <c r="K278" s="71"/>
      <c r="L278" s="71"/>
      <c r="M278" s="71"/>
      <c r="N278" s="71"/>
      <c r="O278" s="71"/>
      <c r="P278" s="46"/>
      <c r="Q278" s="46"/>
      <c r="R278" s="46"/>
      <c r="S278" s="46"/>
      <c r="T278" s="46"/>
      <c r="U278" s="50"/>
      <c r="V278" s="46"/>
    </row>
    <row r="279" spans="2:22" s="27" customFormat="1">
      <c r="B279" s="18"/>
      <c r="C279" s="18"/>
      <c r="D279" s="18"/>
      <c r="E279" s="18"/>
      <c r="F279" s="18"/>
      <c r="G279" s="18"/>
      <c r="H279" s="18"/>
      <c r="I279" s="71"/>
      <c r="J279" s="71"/>
      <c r="K279" s="71"/>
      <c r="L279" s="71"/>
      <c r="M279" s="71"/>
      <c r="N279" s="71"/>
      <c r="O279" s="71"/>
      <c r="P279" s="46"/>
      <c r="Q279" s="46"/>
      <c r="R279" s="46"/>
      <c r="S279" s="46"/>
      <c r="T279" s="46"/>
      <c r="U279" s="50"/>
      <c r="V279" s="46"/>
    </row>
    <row r="280" spans="2:22" s="27" customFormat="1">
      <c r="B280" s="18"/>
      <c r="C280" s="18"/>
      <c r="D280" s="18"/>
      <c r="E280" s="18"/>
      <c r="F280" s="18"/>
      <c r="G280" s="18"/>
      <c r="H280" s="18"/>
      <c r="I280" s="71"/>
      <c r="J280" s="71"/>
      <c r="K280" s="71"/>
      <c r="L280" s="71"/>
      <c r="M280" s="71"/>
      <c r="N280" s="71"/>
      <c r="O280" s="71"/>
      <c r="P280" s="46"/>
      <c r="Q280" s="46"/>
      <c r="R280" s="46"/>
      <c r="S280" s="46"/>
      <c r="T280" s="46"/>
      <c r="U280" s="50"/>
      <c r="V280" s="46"/>
    </row>
    <row r="281" spans="2:22" s="27" customFormat="1">
      <c r="B281" s="18"/>
      <c r="C281" s="18"/>
      <c r="D281" s="18"/>
      <c r="E281" s="18"/>
      <c r="F281" s="18"/>
      <c r="G281" s="18"/>
      <c r="H281" s="18"/>
      <c r="I281" s="71"/>
      <c r="J281" s="71"/>
      <c r="K281" s="71"/>
      <c r="L281" s="71"/>
      <c r="M281" s="71"/>
      <c r="N281" s="71"/>
      <c r="O281" s="71"/>
      <c r="P281" s="46"/>
      <c r="Q281" s="46"/>
      <c r="R281" s="46"/>
      <c r="S281" s="46"/>
      <c r="T281" s="46"/>
      <c r="U281" s="50"/>
      <c r="V281" s="46"/>
    </row>
    <row r="282" spans="2:22" s="27" customFormat="1">
      <c r="B282" s="18"/>
      <c r="C282" s="18"/>
      <c r="D282" s="18"/>
      <c r="E282" s="18"/>
      <c r="F282" s="18"/>
      <c r="G282" s="18"/>
      <c r="H282" s="18"/>
      <c r="I282" s="71"/>
      <c r="J282" s="71"/>
      <c r="K282" s="71"/>
      <c r="L282" s="71"/>
      <c r="M282" s="71"/>
      <c r="N282" s="71"/>
      <c r="O282" s="71"/>
      <c r="P282" s="46"/>
      <c r="Q282" s="46"/>
      <c r="R282" s="46"/>
      <c r="S282" s="46"/>
      <c r="T282" s="46"/>
      <c r="U282" s="50"/>
      <c r="V282" s="46"/>
    </row>
    <row r="283" spans="2:22" s="27" customFormat="1">
      <c r="B283" s="18"/>
      <c r="C283" s="18"/>
      <c r="D283" s="18"/>
      <c r="E283" s="18"/>
      <c r="F283" s="18"/>
      <c r="G283" s="18"/>
      <c r="H283" s="18"/>
      <c r="I283" s="71"/>
      <c r="J283" s="71"/>
      <c r="K283" s="71"/>
      <c r="L283" s="71"/>
      <c r="M283" s="71"/>
      <c r="N283" s="71"/>
      <c r="O283" s="71"/>
      <c r="P283" s="46"/>
      <c r="Q283" s="46"/>
      <c r="R283" s="46"/>
      <c r="S283" s="46"/>
      <c r="T283" s="46"/>
      <c r="U283" s="50"/>
      <c r="V283" s="46"/>
    </row>
    <row r="284" spans="2:22" s="27" customFormat="1">
      <c r="B284" s="18"/>
      <c r="C284" s="18"/>
      <c r="D284" s="18"/>
      <c r="E284" s="18"/>
      <c r="F284" s="18"/>
      <c r="G284" s="18"/>
      <c r="H284" s="18"/>
      <c r="I284" s="71"/>
      <c r="J284" s="71"/>
      <c r="K284" s="71"/>
      <c r="L284" s="71"/>
      <c r="M284" s="71"/>
      <c r="N284" s="71"/>
      <c r="O284" s="71"/>
      <c r="P284" s="46"/>
      <c r="Q284" s="46"/>
      <c r="R284" s="46"/>
      <c r="S284" s="46"/>
      <c r="T284" s="46"/>
      <c r="U284" s="50"/>
      <c r="V284" s="46"/>
    </row>
    <row r="285" spans="2:22" s="27" customFormat="1">
      <c r="B285" s="18"/>
      <c r="C285" s="18"/>
      <c r="D285" s="18"/>
      <c r="E285" s="18"/>
      <c r="F285" s="18"/>
      <c r="G285" s="18"/>
      <c r="H285" s="18"/>
      <c r="I285" s="71"/>
      <c r="J285" s="71"/>
      <c r="K285" s="71"/>
      <c r="L285" s="71"/>
      <c r="M285" s="71"/>
      <c r="N285" s="71"/>
      <c r="O285" s="71"/>
      <c r="P285" s="46"/>
      <c r="Q285" s="46"/>
      <c r="R285" s="46"/>
      <c r="S285" s="46"/>
      <c r="T285" s="46"/>
      <c r="U285" s="50"/>
      <c r="V285" s="46"/>
    </row>
    <row r="286" spans="2:22" s="27" customFormat="1">
      <c r="B286" s="18"/>
      <c r="C286" s="18"/>
      <c r="D286" s="18"/>
      <c r="E286" s="18"/>
      <c r="F286" s="18"/>
      <c r="G286" s="18"/>
      <c r="H286" s="18"/>
      <c r="I286" s="71"/>
      <c r="J286" s="71"/>
      <c r="K286" s="71"/>
      <c r="L286" s="71"/>
      <c r="M286" s="71"/>
      <c r="N286" s="71"/>
      <c r="O286" s="71"/>
      <c r="P286" s="46"/>
      <c r="Q286" s="46"/>
      <c r="R286" s="46"/>
      <c r="S286" s="46"/>
      <c r="T286" s="46"/>
      <c r="U286" s="50"/>
      <c r="V286" s="46"/>
    </row>
    <row r="287" spans="2:22" s="27" customFormat="1">
      <c r="B287" s="18"/>
      <c r="C287" s="18"/>
      <c r="D287" s="18"/>
      <c r="E287" s="18"/>
      <c r="F287" s="18"/>
      <c r="G287" s="18"/>
      <c r="H287" s="18"/>
      <c r="I287" s="71"/>
      <c r="J287" s="71"/>
      <c r="K287" s="71"/>
      <c r="L287" s="71"/>
      <c r="M287" s="71"/>
      <c r="N287" s="71"/>
      <c r="O287" s="71"/>
      <c r="P287" s="46"/>
      <c r="Q287" s="46"/>
      <c r="R287" s="46"/>
      <c r="S287" s="46"/>
      <c r="T287" s="46"/>
      <c r="U287" s="50"/>
      <c r="V287" s="46"/>
    </row>
    <row r="288" spans="2:22" s="27" customFormat="1">
      <c r="B288" s="18"/>
      <c r="C288" s="18"/>
      <c r="D288" s="18"/>
      <c r="E288" s="18"/>
      <c r="F288" s="18"/>
      <c r="G288" s="18"/>
      <c r="H288" s="18"/>
      <c r="I288" s="71"/>
      <c r="J288" s="71"/>
      <c r="K288" s="71"/>
      <c r="L288" s="71"/>
      <c r="M288" s="71"/>
      <c r="N288" s="71"/>
      <c r="O288" s="71"/>
      <c r="P288" s="46"/>
      <c r="Q288" s="46"/>
      <c r="R288" s="46"/>
      <c r="S288" s="46"/>
      <c r="T288" s="46"/>
      <c r="U288" s="50"/>
      <c r="V288" s="46"/>
    </row>
    <row r="289" spans="2:22" s="27" customFormat="1">
      <c r="B289" s="18"/>
      <c r="C289" s="18"/>
      <c r="D289" s="18"/>
      <c r="E289" s="18"/>
      <c r="F289" s="18"/>
      <c r="G289" s="18"/>
      <c r="H289" s="18"/>
      <c r="I289" s="71"/>
      <c r="J289" s="71"/>
      <c r="K289" s="71"/>
      <c r="L289" s="71"/>
      <c r="M289" s="71"/>
      <c r="N289" s="71"/>
      <c r="O289" s="71"/>
      <c r="P289" s="46"/>
      <c r="Q289" s="46"/>
      <c r="R289" s="46"/>
      <c r="S289" s="46"/>
      <c r="T289" s="46"/>
      <c r="U289" s="50"/>
      <c r="V289" s="46"/>
    </row>
    <row r="290" spans="2:22" s="27" customFormat="1">
      <c r="B290" s="18"/>
      <c r="C290" s="18"/>
      <c r="D290" s="18"/>
      <c r="E290" s="18"/>
      <c r="F290" s="18"/>
      <c r="G290" s="18"/>
      <c r="H290" s="18"/>
      <c r="I290" s="71"/>
      <c r="J290" s="71"/>
      <c r="K290" s="71"/>
      <c r="L290" s="71"/>
      <c r="M290" s="71"/>
      <c r="N290" s="71"/>
      <c r="O290" s="71"/>
      <c r="P290" s="46"/>
      <c r="Q290" s="46"/>
      <c r="R290" s="46"/>
      <c r="S290" s="46"/>
      <c r="T290" s="46"/>
      <c r="U290" s="50"/>
      <c r="V290" s="46"/>
    </row>
    <row r="291" spans="2:22" s="27" customFormat="1">
      <c r="B291" s="18"/>
      <c r="C291" s="18"/>
      <c r="D291" s="18"/>
      <c r="E291" s="18"/>
      <c r="F291" s="18"/>
      <c r="G291" s="18"/>
      <c r="H291" s="18"/>
      <c r="I291" s="71"/>
      <c r="J291" s="71"/>
      <c r="K291" s="71"/>
      <c r="L291" s="71"/>
      <c r="M291" s="71"/>
      <c r="N291" s="71"/>
      <c r="O291" s="71"/>
      <c r="P291" s="46"/>
      <c r="Q291" s="46"/>
      <c r="R291" s="46"/>
      <c r="S291" s="46"/>
      <c r="T291" s="46"/>
      <c r="U291" s="50"/>
      <c r="V291" s="46"/>
    </row>
    <row r="292" spans="2:22" s="27" customFormat="1">
      <c r="B292" s="18"/>
      <c r="C292" s="18"/>
      <c r="D292" s="18"/>
      <c r="E292" s="18"/>
      <c r="F292" s="18"/>
      <c r="G292" s="18"/>
      <c r="H292" s="18"/>
      <c r="I292" s="71"/>
      <c r="J292" s="71"/>
      <c r="K292" s="71"/>
      <c r="L292" s="71"/>
      <c r="M292" s="71"/>
      <c r="N292" s="71"/>
      <c r="O292" s="71"/>
      <c r="P292" s="46"/>
      <c r="Q292" s="46"/>
      <c r="R292" s="46"/>
      <c r="S292" s="46"/>
      <c r="T292" s="46"/>
      <c r="U292" s="50"/>
      <c r="V292" s="46"/>
    </row>
    <row r="293" spans="2:22" s="27" customFormat="1">
      <c r="B293" s="18"/>
      <c r="C293" s="18"/>
      <c r="D293" s="18"/>
      <c r="E293" s="18"/>
      <c r="F293" s="18"/>
      <c r="G293" s="18"/>
      <c r="H293" s="18"/>
      <c r="I293" s="71"/>
      <c r="J293" s="71"/>
      <c r="K293" s="71"/>
      <c r="L293" s="71"/>
      <c r="M293" s="71"/>
      <c r="N293" s="71"/>
      <c r="O293" s="71"/>
      <c r="P293" s="46"/>
      <c r="Q293" s="46"/>
      <c r="R293" s="46"/>
      <c r="S293" s="46"/>
      <c r="T293" s="46"/>
      <c r="U293" s="50"/>
      <c r="V293" s="46"/>
    </row>
    <row r="294" spans="2:22" s="27" customFormat="1">
      <c r="B294" s="18"/>
      <c r="C294" s="18"/>
      <c r="D294" s="18"/>
      <c r="E294" s="18"/>
      <c r="F294" s="18"/>
      <c r="G294" s="18"/>
      <c r="H294" s="18"/>
      <c r="I294" s="71"/>
      <c r="J294" s="71"/>
      <c r="K294" s="71"/>
      <c r="L294" s="71"/>
      <c r="M294" s="71"/>
      <c r="N294" s="71"/>
      <c r="O294" s="71"/>
      <c r="P294" s="46"/>
      <c r="Q294" s="46"/>
      <c r="R294" s="46"/>
      <c r="S294" s="46"/>
      <c r="T294" s="46"/>
      <c r="U294" s="50"/>
      <c r="V294" s="46"/>
    </row>
    <row r="295" spans="2:22" s="27" customFormat="1">
      <c r="B295" s="18"/>
      <c r="C295" s="18"/>
      <c r="D295" s="18"/>
      <c r="E295" s="18"/>
      <c r="F295" s="18"/>
      <c r="G295" s="18"/>
      <c r="H295" s="18"/>
      <c r="I295" s="71"/>
      <c r="J295" s="71"/>
      <c r="K295" s="71"/>
      <c r="L295" s="71"/>
      <c r="M295" s="71"/>
      <c r="N295" s="71"/>
      <c r="O295" s="71"/>
      <c r="P295" s="46"/>
      <c r="Q295" s="46"/>
      <c r="R295" s="46"/>
      <c r="S295" s="46"/>
      <c r="T295" s="46"/>
      <c r="U295" s="50"/>
      <c r="V295" s="46"/>
    </row>
    <row r="296" spans="2:22" s="27" customFormat="1">
      <c r="B296" s="18"/>
      <c r="C296" s="18"/>
      <c r="D296" s="18"/>
      <c r="E296" s="18"/>
      <c r="F296" s="18"/>
      <c r="G296" s="18"/>
      <c r="H296" s="18"/>
      <c r="I296" s="71"/>
      <c r="J296" s="71"/>
      <c r="K296" s="71"/>
      <c r="L296" s="71"/>
      <c r="M296" s="71"/>
      <c r="N296" s="71"/>
      <c r="O296" s="71"/>
      <c r="P296" s="46"/>
      <c r="Q296" s="46"/>
      <c r="R296" s="46"/>
      <c r="S296" s="46"/>
      <c r="T296" s="46"/>
      <c r="U296" s="50"/>
      <c r="V296" s="46"/>
    </row>
    <row r="297" spans="2:22" s="27" customFormat="1">
      <c r="B297" s="18"/>
      <c r="C297" s="18"/>
      <c r="D297" s="18"/>
      <c r="E297" s="18"/>
      <c r="F297" s="18"/>
      <c r="G297" s="18"/>
      <c r="H297" s="18"/>
      <c r="I297" s="71"/>
      <c r="J297" s="71"/>
      <c r="K297" s="71"/>
      <c r="L297" s="71"/>
      <c r="M297" s="71"/>
      <c r="N297" s="71"/>
      <c r="O297" s="71"/>
      <c r="P297" s="46"/>
      <c r="Q297" s="46"/>
      <c r="R297" s="46"/>
      <c r="S297" s="46"/>
      <c r="T297" s="46"/>
      <c r="U297" s="50"/>
      <c r="V297" s="46"/>
    </row>
    <row r="298" spans="2:22" s="27" customFormat="1">
      <c r="B298" s="18"/>
      <c r="C298" s="18"/>
      <c r="D298" s="18"/>
      <c r="E298" s="18"/>
      <c r="F298" s="18"/>
      <c r="G298" s="18"/>
      <c r="H298" s="18"/>
      <c r="I298" s="71"/>
      <c r="J298" s="71"/>
      <c r="K298" s="71"/>
      <c r="L298" s="71"/>
      <c r="M298" s="71"/>
      <c r="N298" s="71"/>
      <c r="O298" s="71"/>
      <c r="P298" s="46"/>
      <c r="Q298" s="46"/>
      <c r="R298" s="46"/>
      <c r="S298" s="46"/>
      <c r="T298" s="46"/>
      <c r="U298" s="50"/>
      <c r="V298" s="46"/>
    </row>
    <row r="299" spans="2:22" s="27" customFormat="1">
      <c r="B299" s="18"/>
      <c r="C299" s="18"/>
      <c r="D299" s="18"/>
      <c r="E299" s="18"/>
      <c r="F299" s="18"/>
      <c r="G299" s="18"/>
      <c r="H299" s="18"/>
      <c r="I299" s="71"/>
      <c r="J299" s="71"/>
      <c r="K299" s="71"/>
      <c r="L299" s="71"/>
      <c r="M299" s="71"/>
      <c r="N299" s="71"/>
      <c r="O299" s="71"/>
      <c r="P299" s="46"/>
      <c r="Q299" s="46"/>
      <c r="R299" s="46"/>
      <c r="S299" s="46"/>
      <c r="T299" s="46"/>
      <c r="U299" s="50"/>
      <c r="V299" s="46"/>
    </row>
    <row r="300" spans="2:22" s="27" customFormat="1">
      <c r="B300" s="18"/>
      <c r="C300" s="18"/>
      <c r="D300" s="18"/>
      <c r="E300" s="18"/>
      <c r="F300" s="18"/>
      <c r="G300" s="18"/>
      <c r="H300" s="18"/>
      <c r="I300" s="71"/>
      <c r="J300" s="71"/>
      <c r="K300" s="71"/>
      <c r="L300" s="71"/>
      <c r="M300" s="71"/>
      <c r="N300" s="71"/>
      <c r="O300" s="71"/>
      <c r="P300" s="46"/>
      <c r="Q300" s="46"/>
      <c r="R300" s="46"/>
      <c r="S300" s="46"/>
      <c r="T300" s="46"/>
      <c r="U300" s="50"/>
      <c r="V300" s="46"/>
    </row>
    <row r="301" spans="2:22" s="27" customFormat="1">
      <c r="B301" s="18"/>
      <c r="C301" s="18"/>
      <c r="D301" s="18"/>
      <c r="E301" s="18"/>
      <c r="F301" s="18"/>
      <c r="G301" s="18"/>
      <c r="H301" s="18"/>
      <c r="I301" s="71"/>
      <c r="J301" s="71"/>
      <c r="K301" s="71"/>
      <c r="L301" s="71"/>
      <c r="M301" s="71"/>
      <c r="N301" s="71"/>
      <c r="O301" s="71"/>
      <c r="P301" s="46"/>
      <c r="Q301" s="46"/>
      <c r="R301" s="46"/>
      <c r="S301" s="46"/>
      <c r="T301" s="46"/>
      <c r="U301" s="50"/>
      <c r="V301" s="46"/>
    </row>
    <row r="302" spans="2:22" s="27" customFormat="1">
      <c r="B302" s="18"/>
      <c r="C302" s="18"/>
      <c r="D302" s="18"/>
      <c r="E302" s="18"/>
      <c r="F302" s="18"/>
      <c r="G302" s="18"/>
      <c r="H302" s="18"/>
      <c r="I302" s="71"/>
      <c r="J302" s="71"/>
      <c r="K302" s="71"/>
      <c r="L302" s="71"/>
      <c r="M302" s="71"/>
      <c r="N302" s="71"/>
      <c r="O302" s="71"/>
      <c r="P302" s="46"/>
      <c r="Q302" s="46"/>
      <c r="R302" s="46"/>
      <c r="S302" s="46"/>
      <c r="T302" s="46"/>
      <c r="U302" s="50"/>
      <c r="V302" s="46"/>
    </row>
    <row r="303" spans="2:22" s="27" customFormat="1">
      <c r="B303" s="18"/>
      <c r="C303" s="18"/>
      <c r="D303" s="18"/>
      <c r="E303" s="18"/>
      <c r="F303" s="18"/>
      <c r="G303" s="18"/>
      <c r="H303" s="18"/>
      <c r="I303" s="71"/>
      <c r="J303" s="71"/>
      <c r="K303" s="71"/>
      <c r="L303" s="71"/>
      <c r="M303" s="71"/>
      <c r="N303" s="71"/>
      <c r="O303" s="71"/>
      <c r="P303" s="46"/>
      <c r="Q303" s="46"/>
      <c r="R303" s="46"/>
      <c r="S303" s="46"/>
      <c r="T303" s="46"/>
      <c r="U303" s="50"/>
      <c r="V303" s="46"/>
    </row>
    <row r="304" spans="2:22" s="27" customFormat="1">
      <c r="B304" s="18"/>
      <c r="C304" s="18"/>
      <c r="D304" s="18"/>
      <c r="E304" s="18"/>
      <c r="F304" s="18"/>
      <c r="G304" s="18"/>
      <c r="H304" s="18"/>
      <c r="I304" s="71"/>
      <c r="J304" s="71"/>
      <c r="K304" s="71"/>
      <c r="L304" s="71"/>
      <c r="M304" s="71"/>
      <c r="N304" s="71"/>
      <c r="O304" s="71"/>
      <c r="P304" s="46"/>
      <c r="Q304" s="46"/>
      <c r="R304" s="46"/>
      <c r="S304" s="46"/>
      <c r="T304" s="46"/>
      <c r="U304" s="50"/>
      <c r="V304" s="46"/>
    </row>
    <row r="305" spans="2:22" s="27" customFormat="1">
      <c r="B305" s="18"/>
      <c r="C305" s="18"/>
      <c r="D305" s="18"/>
      <c r="E305" s="18"/>
      <c r="F305" s="18"/>
      <c r="G305" s="18"/>
      <c r="H305" s="18"/>
      <c r="I305" s="71"/>
      <c r="J305" s="71"/>
      <c r="K305" s="71"/>
      <c r="L305" s="71"/>
      <c r="M305" s="71"/>
      <c r="N305" s="71"/>
      <c r="O305" s="71"/>
      <c r="P305" s="46"/>
      <c r="Q305" s="46"/>
      <c r="R305" s="46"/>
      <c r="S305" s="46"/>
      <c r="T305" s="46"/>
      <c r="U305" s="50"/>
      <c r="V305" s="46"/>
    </row>
    <row r="306" spans="2:22" s="27" customFormat="1">
      <c r="B306" s="18"/>
      <c r="C306" s="18"/>
      <c r="D306" s="18"/>
      <c r="E306" s="18"/>
      <c r="F306" s="18"/>
      <c r="G306" s="18"/>
      <c r="H306" s="18"/>
      <c r="I306" s="71"/>
      <c r="J306" s="71"/>
      <c r="K306" s="71"/>
      <c r="L306" s="71"/>
      <c r="M306" s="71"/>
      <c r="N306" s="71"/>
      <c r="O306" s="71"/>
      <c r="P306" s="46"/>
      <c r="Q306" s="46"/>
      <c r="R306" s="46"/>
      <c r="S306" s="46"/>
      <c r="T306" s="46"/>
      <c r="U306" s="50"/>
      <c r="V306" s="46"/>
    </row>
    <row r="307" spans="2:22" s="27" customFormat="1">
      <c r="B307" s="18"/>
      <c r="C307" s="18"/>
      <c r="D307" s="18"/>
      <c r="E307" s="18"/>
      <c r="F307" s="18"/>
      <c r="G307" s="18"/>
      <c r="H307" s="18"/>
      <c r="I307" s="71"/>
      <c r="J307" s="71"/>
      <c r="K307" s="71"/>
      <c r="L307" s="71"/>
      <c r="M307" s="71"/>
      <c r="N307" s="71"/>
      <c r="O307" s="71"/>
      <c r="P307" s="46"/>
      <c r="Q307" s="46"/>
      <c r="R307" s="46"/>
      <c r="S307" s="46"/>
      <c r="T307" s="46"/>
      <c r="U307" s="50"/>
      <c r="V307" s="46"/>
    </row>
    <row r="308" spans="2:22" s="27" customFormat="1">
      <c r="B308" s="18"/>
      <c r="C308" s="18"/>
      <c r="D308" s="18"/>
      <c r="E308" s="18"/>
      <c r="F308" s="18"/>
      <c r="G308" s="18"/>
      <c r="H308" s="18"/>
      <c r="I308" s="71"/>
      <c r="J308" s="71"/>
      <c r="K308" s="71"/>
      <c r="L308" s="71"/>
      <c r="M308" s="71"/>
      <c r="N308" s="71"/>
      <c r="O308" s="71"/>
      <c r="P308" s="46"/>
      <c r="Q308" s="46"/>
      <c r="R308" s="46"/>
      <c r="S308" s="46"/>
      <c r="T308" s="46"/>
      <c r="U308" s="50"/>
      <c r="V308" s="46"/>
    </row>
    <row r="309" spans="2:22" s="27" customFormat="1">
      <c r="B309" s="18"/>
      <c r="C309" s="18"/>
      <c r="D309" s="18"/>
      <c r="E309" s="18"/>
      <c r="F309" s="18"/>
      <c r="G309" s="18"/>
      <c r="H309" s="18"/>
      <c r="I309" s="71"/>
      <c r="J309" s="71"/>
      <c r="K309" s="71"/>
      <c r="L309" s="71"/>
      <c r="M309" s="71"/>
      <c r="N309" s="71"/>
      <c r="O309" s="71"/>
      <c r="P309" s="46"/>
      <c r="Q309" s="46"/>
      <c r="R309" s="46"/>
      <c r="S309" s="46"/>
      <c r="T309" s="46"/>
      <c r="U309" s="50"/>
      <c r="V309" s="46"/>
    </row>
    <row r="310" spans="2:22" s="27" customFormat="1">
      <c r="B310" s="18"/>
      <c r="C310" s="18"/>
      <c r="D310" s="18"/>
      <c r="E310" s="18"/>
      <c r="F310" s="18"/>
      <c r="G310" s="18"/>
      <c r="H310" s="18"/>
      <c r="I310" s="71"/>
      <c r="J310" s="71"/>
      <c r="K310" s="71"/>
      <c r="L310" s="71"/>
      <c r="M310" s="71"/>
      <c r="N310" s="71"/>
      <c r="O310" s="71"/>
      <c r="P310" s="46"/>
      <c r="Q310" s="46"/>
      <c r="R310" s="46"/>
      <c r="S310" s="46"/>
      <c r="T310" s="46"/>
      <c r="U310" s="50"/>
      <c r="V310" s="46"/>
    </row>
    <row r="311" spans="2:22" s="27" customFormat="1">
      <c r="B311" s="18"/>
      <c r="C311" s="18"/>
      <c r="D311" s="18"/>
      <c r="E311" s="18"/>
      <c r="F311" s="18"/>
      <c r="G311" s="18"/>
      <c r="H311" s="18"/>
      <c r="I311" s="71"/>
      <c r="J311" s="71"/>
      <c r="K311" s="71"/>
      <c r="L311" s="71"/>
      <c r="M311" s="71"/>
      <c r="N311" s="71"/>
      <c r="O311" s="71"/>
      <c r="P311" s="46"/>
      <c r="Q311" s="46"/>
      <c r="R311" s="46"/>
      <c r="S311" s="46"/>
      <c r="T311" s="46"/>
      <c r="U311" s="50"/>
      <c r="V311" s="46"/>
    </row>
    <row r="312" spans="2:22" s="27" customFormat="1">
      <c r="B312" s="18"/>
      <c r="C312" s="18"/>
      <c r="D312" s="18"/>
      <c r="E312" s="18"/>
      <c r="F312" s="18"/>
      <c r="G312" s="18"/>
      <c r="H312" s="18"/>
      <c r="I312" s="71"/>
      <c r="J312" s="71"/>
      <c r="K312" s="71"/>
      <c r="L312" s="71"/>
      <c r="M312" s="71"/>
      <c r="N312" s="71"/>
      <c r="O312" s="71"/>
      <c r="P312" s="46"/>
      <c r="Q312" s="46"/>
      <c r="R312" s="46"/>
      <c r="S312" s="46"/>
      <c r="T312" s="46"/>
      <c r="U312" s="50"/>
      <c r="V312" s="46"/>
    </row>
    <row r="313" spans="2:22" s="27" customFormat="1">
      <c r="B313" s="18"/>
      <c r="C313" s="18"/>
      <c r="D313" s="18"/>
      <c r="E313" s="18"/>
      <c r="F313" s="18"/>
      <c r="G313" s="18"/>
      <c r="H313" s="18"/>
      <c r="I313" s="71"/>
      <c r="J313" s="71"/>
      <c r="K313" s="71"/>
      <c r="L313" s="71"/>
      <c r="M313" s="71"/>
      <c r="N313" s="71"/>
      <c r="O313" s="71"/>
      <c r="P313" s="46"/>
      <c r="Q313" s="46"/>
      <c r="R313" s="46"/>
      <c r="S313" s="46"/>
      <c r="T313" s="46"/>
      <c r="U313" s="50"/>
      <c r="V313" s="46"/>
    </row>
    <row r="314" spans="2:22" s="27" customFormat="1">
      <c r="B314" s="18"/>
      <c r="C314" s="18"/>
      <c r="D314" s="18"/>
      <c r="E314" s="18"/>
      <c r="F314" s="18"/>
      <c r="G314" s="18"/>
      <c r="H314" s="18"/>
      <c r="I314" s="71"/>
      <c r="J314" s="71"/>
      <c r="K314" s="71"/>
      <c r="L314" s="71"/>
      <c r="M314" s="71"/>
      <c r="N314" s="71"/>
      <c r="O314" s="71"/>
      <c r="P314" s="46"/>
      <c r="Q314" s="46"/>
      <c r="R314" s="46"/>
      <c r="S314" s="46"/>
      <c r="T314" s="46"/>
      <c r="U314" s="50"/>
      <c r="V314" s="46"/>
    </row>
    <row r="315" spans="2:22" s="27" customFormat="1">
      <c r="B315" s="18"/>
      <c r="C315" s="18"/>
      <c r="D315" s="18"/>
      <c r="E315" s="18"/>
      <c r="F315" s="18"/>
      <c r="G315" s="18"/>
      <c r="H315" s="18"/>
      <c r="I315" s="71"/>
      <c r="J315" s="71"/>
      <c r="K315" s="71"/>
      <c r="L315" s="71"/>
      <c r="M315" s="71"/>
      <c r="N315" s="71"/>
      <c r="O315" s="71"/>
      <c r="P315" s="46"/>
      <c r="Q315" s="46"/>
      <c r="R315" s="46"/>
      <c r="S315" s="46"/>
      <c r="T315" s="46"/>
      <c r="U315" s="50"/>
      <c r="V315" s="46"/>
    </row>
    <row r="316" spans="2:22" s="27" customFormat="1">
      <c r="B316" s="18"/>
      <c r="C316" s="18"/>
      <c r="D316" s="18"/>
      <c r="E316" s="18"/>
      <c r="F316" s="18"/>
      <c r="G316" s="18"/>
      <c r="H316" s="18"/>
      <c r="I316" s="71"/>
      <c r="J316" s="71"/>
      <c r="K316" s="71"/>
      <c r="L316" s="71"/>
      <c r="M316" s="71"/>
      <c r="N316" s="71"/>
      <c r="O316" s="71"/>
      <c r="P316" s="46"/>
      <c r="Q316" s="46"/>
      <c r="R316" s="46"/>
      <c r="S316" s="46"/>
      <c r="T316" s="46"/>
      <c r="U316" s="50"/>
      <c r="V316" s="46"/>
    </row>
    <row r="317" spans="2:22" s="27" customFormat="1">
      <c r="B317" s="18"/>
      <c r="C317" s="18"/>
      <c r="D317" s="18"/>
      <c r="E317" s="18"/>
      <c r="F317" s="18"/>
      <c r="G317" s="18"/>
      <c r="H317" s="18"/>
      <c r="I317" s="71"/>
      <c r="J317" s="71"/>
      <c r="K317" s="71"/>
      <c r="L317" s="71"/>
      <c r="M317" s="71"/>
      <c r="N317" s="71"/>
      <c r="O317" s="71"/>
      <c r="P317" s="46"/>
      <c r="Q317" s="46"/>
      <c r="R317" s="46"/>
      <c r="S317" s="46"/>
      <c r="T317" s="46"/>
      <c r="U317" s="50"/>
      <c r="V317" s="46"/>
    </row>
    <row r="318" spans="2:22" s="27" customFormat="1">
      <c r="B318" s="18"/>
      <c r="C318" s="18"/>
      <c r="D318" s="18"/>
      <c r="E318" s="18"/>
      <c r="F318" s="18"/>
      <c r="G318" s="18"/>
      <c r="H318" s="18"/>
      <c r="I318" s="71"/>
      <c r="J318" s="71"/>
      <c r="K318" s="71"/>
      <c r="L318" s="71"/>
      <c r="M318" s="71"/>
      <c r="N318" s="71"/>
      <c r="O318" s="71"/>
      <c r="P318" s="46"/>
      <c r="Q318" s="46"/>
      <c r="R318" s="46"/>
      <c r="S318" s="46"/>
      <c r="T318" s="46"/>
      <c r="U318" s="50"/>
      <c r="V318" s="46"/>
    </row>
    <row r="319" spans="2:22" s="27" customFormat="1">
      <c r="B319" s="18"/>
      <c r="C319" s="18"/>
      <c r="D319" s="18"/>
      <c r="E319" s="18"/>
      <c r="F319" s="18"/>
      <c r="G319" s="18"/>
      <c r="H319" s="18"/>
      <c r="I319" s="71"/>
      <c r="J319" s="71"/>
      <c r="K319" s="71"/>
      <c r="L319" s="71"/>
      <c r="M319" s="71"/>
      <c r="N319" s="71"/>
      <c r="O319" s="71"/>
      <c r="P319" s="46"/>
      <c r="Q319" s="46"/>
      <c r="R319" s="46"/>
      <c r="S319" s="46"/>
      <c r="T319" s="46"/>
      <c r="U319" s="50"/>
      <c r="V319" s="46"/>
    </row>
    <row r="320" spans="2:22" s="27" customFormat="1">
      <c r="B320" s="18"/>
      <c r="C320" s="18"/>
      <c r="D320" s="18"/>
      <c r="E320" s="18"/>
      <c r="F320" s="18"/>
      <c r="G320" s="18"/>
      <c r="H320" s="18"/>
      <c r="I320" s="71"/>
      <c r="J320" s="71"/>
      <c r="K320" s="71"/>
      <c r="L320" s="71"/>
      <c r="M320" s="71"/>
      <c r="N320" s="71"/>
      <c r="O320" s="71"/>
      <c r="P320" s="46"/>
      <c r="Q320" s="46"/>
      <c r="R320" s="46"/>
      <c r="S320" s="46"/>
      <c r="T320" s="46"/>
      <c r="U320" s="50"/>
      <c r="V320" s="46"/>
    </row>
    <row r="321" spans="2:22" s="27" customFormat="1">
      <c r="B321" s="18"/>
      <c r="C321" s="18"/>
      <c r="D321" s="18"/>
      <c r="E321" s="18"/>
      <c r="F321" s="18"/>
      <c r="G321" s="18"/>
      <c r="H321" s="18"/>
      <c r="I321" s="71"/>
      <c r="J321" s="71"/>
      <c r="K321" s="71"/>
      <c r="L321" s="71"/>
      <c r="M321" s="71"/>
      <c r="N321" s="71"/>
      <c r="O321" s="71"/>
      <c r="P321" s="46"/>
      <c r="Q321" s="46"/>
      <c r="R321" s="46"/>
      <c r="S321" s="46"/>
      <c r="T321" s="46"/>
      <c r="U321" s="50"/>
      <c r="V321" s="46"/>
    </row>
    <row r="322" spans="2:22" s="27" customFormat="1">
      <c r="B322" s="18"/>
      <c r="C322" s="18"/>
      <c r="D322" s="18"/>
      <c r="E322" s="18"/>
      <c r="F322" s="18"/>
      <c r="G322" s="18"/>
      <c r="H322" s="18"/>
      <c r="I322" s="71"/>
      <c r="J322" s="71"/>
      <c r="K322" s="71"/>
      <c r="L322" s="71"/>
      <c r="M322" s="71"/>
      <c r="N322" s="71"/>
      <c r="O322" s="71"/>
      <c r="P322" s="46"/>
      <c r="Q322" s="46"/>
      <c r="R322" s="46"/>
      <c r="S322" s="46"/>
      <c r="T322" s="46"/>
      <c r="U322" s="50"/>
      <c r="V322" s="46"/>
    </row>
    <row r="323" spans="2:22" s="27" customFormat="1">
      <c r="B323" s="18"/>
      <c r="C323" s="18"/>
      <c r="D323" s="18"/>
      <c r="E323" s="18"/>
      <c r="F323" s="18"/>
      <c r="G323" s="18"/>
      <c r="H323" s="18"/>
      <c r="I323" s="71"/>
      <c r="J323" s="71"/>
      <c r="K323" s="71"/>
      <c r="L323" s="71"/>
      <c r="M323" s="71"/>
      <c r="N323" s="71"/>
      <c r="O323" s="71"/>
      <c r="P323" s="46"/>
      <c r="Q323" s="46"/>
      <c r="R323" s="46"/>
      <c r="S323" s="46"/>
      <c r="T323" s="46"/>
      <c r="U323" s="50"/>
      <c r="V323" s="46"/>
    </row>
    <row r="324" spans="2:22" s="27" customFormat="1">
      <c r="B324" s="18"/>
      <c r="C324" s="18"/>
      <c r="D324" s="18"/>
      <c r="E324" s="18"/>
      <c r="F324" s="18"/>
      <c r="G324" s="18"/>
      <c r="H324" s="18"/>
      <c r="I324" s="71"/>
      <c r="J324" s="71"/>
      <c r="K324" s="71"/>
      <c r="L324" s="71"/>
      <c r="M324" s="71"/>
      <c r="N324" s="71"/>
      <c r="O324" s="71"/>
      <c r="P324" s="46"/>
      <c r="Q324" s="46"/>
      <c r="R324" s="46"/>
      <c r="S324" s="46"/>
      <c r="T324" s="46"/>
      <c r="U324" s="50"/>
      <c r="V324" s="46"/>
    </row>
    <row r="325" spans="2:22" s="27" customFormat="1">
      <c r="B325" s="18"/>
      <c r="C325" s="18"/>
      <c r="D325" s="18"/>
      <c r="E325" s="18"/>
      <c r="F325" s="18"/>
      <c r="G325" s="18"/>
      <c r="H325" s="18"/>
      <c r="I325" s="71"/>
      <c r="J325" s="71"/>
      <c r="K325" s="71"/>
      <c r="L325" s="71"/>
      <c r="M325" s="71"/>
      <c r="N325" s="71"/>
      <c r="O325" s="71"/>
      <c r="P325" s="46"/>
      <c r="Q325" s="46"/>
      <c r="R325" s="46"/>
      <c r="S325" s="46"/>
      <c r="T325" s="46"/>
      <c r="U325" s="50"/>
      <c r="V325" s="46"/>
    </row>
    <row r="326" spans="2:22" s="27" customFormat="1">
      <c r="B326" s="18"/>
      <c r="C326" s="18"/>
      <c r="D326" s="18"/>
      <c r="E326" s="18"/>
      <c r="F326" s="18"/>
      <c r="G326" s="18"/>
      <c r="H326" s="18"/>
      <c r="I326" s="71"/>
      <c r="J326" s="71"/>
      <c r="K326" s="71"/>
      <c r="L326" s="71"/>
      <c r="M326" s="71"/>
      <c r="N326" s="71"/>
      <c r="O326" s="71"/>
      <c r="P326" s="46"/>
      <c r="Q326" s="46"/>
      <c r="R326" s="46"/>
      <c r="S326" s="46"/>
      <c r="T326" s="46"/>
      <c r="U326" s="50"/>
      <c r="V326" s="46"/>
    </row>
    <row r="327" spans="2:22" s="27" customFormat="1">
      <c r="B327" s="18"/>
      <c r="C327" s="18"/>
      <c r="D327" s="18"/>
      <c r="E327" s="18"/>
      <c r="F327" s="18"/>
      <c r="G327" s="18"/>
      <c r="H327" s="18"/>
      <c r="I327" s="71"/>
      <c r="J327" s="71"/>
      <c r="K327" s="71"/>
      <c r="L327" s="71"/>
      <c r="M327" s="71"/>
      <c r="N327" s="71"/>
      <c r="O327" s="71"/>
      <c r="P327" s="46"/>
      <c r="Q327" s="46"/>
      <c r="R327" s="46"/>
      <c r="S327" s="46"/>
      <c r="T327" s="46"/>
      <c r="U327" s="50"/>
      <c r="V327" s="46"/>
    </row>
    <row r="328" spans="2:22" s="27" customFormat="1">
      <c r="B328" s="18"/>
      <c r="C328" s="18"/>
      <c r="D328" s="18"/>
      <c r="E328" s="18"/>
      <c r="F328" s="18"/>
      <c r="G328" s="18"/>
      <c r="H328" s="18"/>
      <c r="I328" s="71"/>
      <c r="J328" s="71"/>
      <c r="K328" s="71"/>
      <c r="L328" s="71"/>
      <c r="M328" s="71"/>
      <c r="N328" s="71"/>
      <c r="O328" s="71"/>
      <c r="P328" s="46"/>
      <c r="Q328" s="46"/>
      <c r="R328" s="46"/>
      <c r="S328" s="46"/>
      <c r="T328" s="46"/>
      <c r="U328" s="50"/>
      <c r="V328" s="46"/>
    </row>
    <row r="329" spans="2:22" s="27" customFormat="1">
      <c r="B329" s="18"/>
      <c r="C329" s="18"/>
      <c r="D329" s="18"/>
      <c r="E329" s="18"/>
      <c r="F329" s="18"/>
      <c r="G329" s="18"/>
      <c r="H329" s="18"/>
      <c r="I329" s="71"/>
      <c r="J329" s="71"/>
      <c r="K329" s="71"/>
      <c r="L329" s="71"/>
      <c r="M329" s="71"/>
      <c r="N329" s="71"/>
      <c r="O329" s="71"/>
      <c r="P329" s="46"/>
      <c r="Q329" s="46"/>
      <c r="R329" s="46"/>
      <c r="S329" s="46"/>
      <c r="T329" s="46"/>
      <c r="U329" s="50"/>
      <c r="V329" s="46"/>
    </row>
    <row r="330" spans="2:22" s="27" customFormat="1">
      <c r="B330" s="18"/>
      <c r="C330" s="18"/>
      <c r="D330" s="18"/>
      <c r="E330" s="18"/>
      <c r="F330" s="18"/>
      <c r="G330" s="18"/>
      <c r="H330" s="18"/>
      <c r="I330" s="71"/>
      <c r="J330" s="71"/>
      <c r="K330" s="71"/>
      <c r="L330" s="71"/>
      <c r="M330" s="71"/>
      <c r="N330" s="71"/>
      <c r="O330" s="71"/>
      <c r="P330" s="46"/>
      <c r="Q330" s="46"/>
      <c r="R330" s="46"/>
      <c r="S330" s="46"/>
      <c r="T330" s="46"/>
      <c r="U330" s="50"/>
      <c r="V330" s="46"/>
    </row>
    <row r="331" spans="2:22" s="27" customFormat="1">
      <c r="B331" s="18"/>
      <c r="C331" s="18"/>
      <c r="D331" s="18"/>
      <c r="E331" s="18"/>
      <c r="F331" s="18"/>
      <c r="G331" s="18"/>
      <c r="H331" s="18"/>
      <c r="I331" s="71"/>
      <c r="J331" s="71"/>
      <c r="K331" s="71"/>
      <c r="L331" s="71"/>
      <c r="M331" s="71"/>
      <c r="N331" s="71"/>
      <c r="O331" s="71"/>
      <c r="P331" s="46"/>
      <c r="Q331" s="46"/>
      <c r="R331" s="46"/>
      <c r="S331" s="46"/>
      <c r="T331" s="46"/>
      <c r="U331" s="50"/>
      <c r="V331" s="46"/>
    </row>
    <row r="332" spans="2:22" s="27" customFormat="1">
      <c r="B332" s="18"/>
      <c r="C332" s="18"/>
      <c r="D332" s="18"/>
      <c r="E332" s="18"/>
      <c r="F332" s="18"/>
      <c r="G332" s="18"/>
      <c r="H332" s="18"/>
      <c r="I332" s="71"/>
      <c r="J332" s="71"/>
      <c r="K332" s="71"/>
      <c r="L332" s="71"/>
      <c r="M332" s="71"/>
      <c r="N332" s="71"/>
      <c r="O332" s="71"/>
      <c r="P332" s="46"/>
      <c r="Q332" s="46"/>
      <c r="R332" s="46"/>
      <c r="S332" s="46"/>
      <c r="T332" s="46"/>
      <c r="U332" s="50"/>
      <c r="V332" s="46"/>
    </row>
    <row r="333" spans="2:22" s="27" customFormat="1">
      <c r="B333" s="18"/>
      <c r="C333" s="18"/>
      <c r="D333" s="18"/>
      <c r="E333" s="18"/>
      <c r="F333" s="18"/>
      <c r="G333" s="18"/>
      <c r="H333" s="18"/>
      <c r="I333" s="71"/>
      <c r="J333" s="71"/>
      <c r="K333" s="71"/>
      <c r="L333" s="71"/>
      <c r="M333" s="71"/>
      <c r="N333" s="71"/>
      <c r="O333" s="71"/>
      <c r="P333" s="46"/>
      <c r="Q333" s="46"/>
      <c r="R333" s="46"/>
      <c r="S333" s="46"/>
      <c r="T333" s="46"/>
      <c r="U333" s="50"/>
      <c r="V333" s="46"/>
    </row>
    <row r="334" spans="2:22" s="27" customFormat="1">
      <c r="B334" s="18"/>
      <c r="C334" s="18"/>
      <c r="D334" s="18"/>
      <c r="E334" s="18"/>
      <c r="F334" s="18"/>
      <c r="G334" s="18"/>
      <c r="H334" s="18"/>
      <c r="I334" s="71"/>
      <c r="J334" s="71"/>
      <c r="K334" s="71"/>
      <c r="L334" s="71"/>
      <c r="M334" s="71"/>
      <c r="N334" s="71"/>
      <c r="O334" s="71"/>
      <c r="P334" s="46"/>
      <c r="Q334" s="46"/>
      <c r="R334" s="46"/>
      <c r="S334" s="46"/>
      <c r="T334" s="46"/>
      <c r="U334" s="50"/>
      <c r="V334" s="46"/>
    </row>
    <row r="335" spans="2:22" s="27" customFormat="1">
      <c r="B335" s="18"/>
      <c r="C335" s="18"/>
      <c r="D335" s="18"/>
      <c r="E335" s="18"/>
      <c r="F335" s="18"/>
      <c r="G335" s="18"/>
      <c r="H335" s="18"/>
      <c r="I335" s="71"/>
      <c r="J335" s="71"/>
      <c r="K335" s="71"/>
      <c r="L335" s="71"/>
      <c r="M335" s="71"/>
      <c r="N335" s="71"/>
      <c r="O335" s="71"/>
      <c r="P335" s="46"/>
      <c r="Q335" s="46"/>
      <c r="R335" s="46"/>
      <c r="S335" s="46"/>
      <c r="T335" s="46"/>
      <c r="U335" s="50"/>
      <c r="V335" s="46"/>
    </row>
    <row r="336" spans="2:22" s="27" customFormat="1">
      <c r="B336" s="18"/>
      <c r="C336" s="18"/>
      <c r="D336" s="18"/>
      <c r="E336" s="18"/>
      <c r="F336" s="18"/>
      <c r="G336" s="18"/>
      <c r="H336" s="18"/>
      <c r="I336" s="71"/>
      <c r="J336" s="71"/>
      <c r="K336" s="71"/>
      <c r="L336" s="71"/>
      <c r="M336" s="71"/>
      <c r="N336" s="71"/>
      <c r="O336" s="71"/>
      <c r="P336" s="46"/>
      <c r="Q336" s="46"/>
      <c r="R336" s="46"/>
      <c r="S336" s="46"/>
      <c r="T336" s="46"/>
      <c r="U336" s="50"/>
      <c r="V336" s="46"/>
    </row>
    <row r="337" spans="2:22" s="27" customFormat="1">
      <c r="B337" s="18"/>
      <c r="C337" s="18"/>
      <c r="D337" s="18"/>
      <c r="E337" s="18"/>
      <c r="F337" s="18"/>
      <c r="G337" s="18"/>
      <c r="H337" s="18"/>
      <c r="I337" s="71"/>
      <c r="J337" s="71"/>
      <c r="K337" s="71"/>
      <c r="L337" s="71"/>
      <c r="M337" s="71"/>
      <c r="N337" s="71"/>
      <c r="O337" s="71"/>
      <c r="P337" s="46"/>
      <c r="Q337" s="46"/>
      <c r="R337" s="46"/>
      <c r="S337" s="46"/>
      <c r="T337" s="46"/>
      <c r="U337" s="50"/>
      <c r="V337" s="46"/>
    </row>
    <row r="338" spans="2:22" s="27" customFormat="1">
      <c r="B338" s="18"/>
      <c r="C338" s="18"/>
      <c r="D338" s="18"/>
      <c r="E338" s="18"/>
      <c r="F338" s="18"/>
      <c r="G338" s="18"/>
      <c r="H338" s="18"/>
      <c r="I338" s="71"/>
      <c r="J338" s="71"/>
      <c r="K338" s="71"/>
      <c r="L338" s="71"/>
      <c r="M338" s="71"/>
      <c r="N338" s="71"/>
      <c r="O338" s="71"/>
      <c r="P338" s="46"/>
      <c r="Q338" s="46"/>
      <c r="R338" s="46"/>
      <c r="S338" s="46"/>
      <c r="T338" s="46"/>
      <c r="U338" s="50"/>
      <c r="V338" s="46"/>
    </row>
    <row r="339" spans="2:22" s="27" customFormat="1">
      <c r="B339" s="18"/>
      <c r="C339" s="18"/>
      <c r="D339" s="18"/>
      <c r="E339" s="18"/>
      <c r="F339" s="18"/>
      <c r="G339" s="18"/>
      <c r="H339" s="18"/>
      <c r="I339" s="71"/>
      <c r="J339" s="71"/>
      <c r="K339" s="71"/>
      <c r="L339" s="71"/>
      <c r="M339" s="71"/>
      <c r="N339" s="71"/>
      <c r="O339" s="71"/>
      <c r="P339" s="46"/>
      <c r="Q339" s="46"/>
      <c r="R339" s="46"/>
      <c r="S339" s="46"/>
      <c r="T339" s="46"/>
      <c r="U339" s="50"/>
      <c r="V339" s="46"/>
    </row>
    <row r="340" spans="2:22" s="27" customFormat="1">
      <c r="B340" s="18"/>
      <c r="C340" s="18"/>
      <c r="D340" s="18"/>
      <c r="E340" s="18"/>
      <c r="F340" s="18"/>
      <c r="G340" s="18"/>
      <c r="H340" s="18"/>
      <c r="I340" s="71"/>
      <c r="J340" s="71"/>
      <c r="K340" s="71"/>
      <c r="L340" s="71"/>
      <c r="M340" s="71"/>
      <c r="N340" s="71"/>
      <c r="O340" s="71"/>
      <c r="P340" s="46"/>
      <c r="Q340" s="46"/>
      <c r="R340" s="46"/>
      <c r="S340" s="46"/>
      <c r="T340" s="46"/>
      <c r="U340" s="50"/>
      <c r="V340" s="46"/>
    </row>
    <row r="341" spans="2:22" s="27" customFormat="1">
      <c r="B341" s="18"/>
      <c r="C341" s="18"/>
      <c r="D341" s="18"/>
      <c r="E341" s="18"/>
      <c r="F341" s="18"/>
      <c r="G341" s="18"/>
      <c r="H341" s="18"/>
      <c r="I341" s="71"/>
      <c r="J341" s="71"/>
      <c r="K341" s="71"/>
      <c r="L341" s="71"/>
      <c r="M341" s="71"/>
      <c r="N341" s="71"/>
      <c r="O341" s="71"/>
      <c r="P341" s="46"/>
      <c r="Q341" s="46"/>
      <c r="R341" s="46"/>
      <c r="S341" s="46"/>
      <c r="T341" s="46"/>
      <c r="U341" s="50"/>
      <c r="V341" s="46"/>
    </row>
    <row r="342" spans="2:22" s="27" customFormat="1">
      <c r="B342" s="18"/>
      <c r="C342" s="18"/>
      <c r="D342" s="18"/>
      <c r="E342" s="18"/>
      <c r="F342" s="18"/>
      <c r="G342" s="18"/>
      <c r="H342" s="18"/>
      <c r="I342" s="71"/>
      <c r="J342" s="71"/>
      <c r="K342" s="71"/>
      <c r="L342" s="71"/>
      <c r="M342" s="71"/>
      <c r="N342" s="71"/>
      <c r="O342" s="71"/>
      <c r="P342" s="46"/>
      <c r="Q342" s="46"/>
      <c r="R342" s="46"/>
      <c r="S342" s="46"/>
      <c r="T342" s="46"/>
      <c r="U342" s="50"/>
      <c r="V342" s="46"/>
    </row>
    <row r="343" spans="2:22" s="27" customFormat="1">
      <c r="B343" s="18"/>
      <c r="C343" s="18"/>
      <c r="D343" s="18"/>
      <c r="E343" s="18"/>
      <c r="F343" s="18"/>
      <c r="G343" s="18"/>
      <c r="H343" s="18"/>
      <c r="I343" s="71"/>
      <c r="J343" s="71"/>
      <c r="K343" s="71"/>
      <c r="L343" s="71"/>
      <c r="M343" s="71"/>
      <c r="N343" s="71"/>
      <c r="O343" s="71"/>
      <c r="P343" s="46"/>
      <c r="Q343" s="46"/>
      <c r="R343" s="46"/>
      <c r="S343" s="46"/>
      <c r="T343" s="46"/>
      <c r="U343" s="50"/>
      <c r="V343" s="46"/>
    </row>
    <row r="344" spans="2:22" s="27" customFormat="1">
      <c r="B344" s="18"/>
      <c r="C344" s="18"/>
      <c r="D344" s="18"/>
      <c r="E344" s="18"/>
      <c r="F344" s="18"/>
      <c r="G344" s="18"/>
      <c r="H344" s="18"/>
      <c r="I344" s="71"/>
      <c r="J344" s="71"/>
      <c r="K344" s="71"/>
      <c r="L344" s="71"/>
      <c r="M344" s="71"/>
      <c r="N344" s="71"/>
      <c r="O344" s="71"/>
      <c r="P344" s="46"/>
      <c r="Q344" s="46"/>
      <c r="R344" s="46"/>
      <c r="S344" s="46"/>
      <c r="T344" s="46"/>
      <c r="U344" s="50"/>
      <c r="V344" s="46"/>
    </row>
    <row r="345" spans="2:22" s="27" customFormat="1">
      <c r="B345" s="18"/>
      <c r="C345" s="18"/>
      <c r="D345" s="18"/>
      <c r="E345" s="18"/>
      <c r="F345" s="18"/>
      <c r="G345" s="18"/>
      <c r="H345" s="18"/>
      <c r="I345" s="71"/>
      <c r="J345" s="71"/>
      <c r="K345" s="71"/>
      <c r="L345" s="71"/>
      <c r="M345" s="71"/>
      <c r="N345" s="71"/>
      <c r="O345" s="71"/>
      <c r="P345" s="46"/>
      <c r="Q345" s="46"/>
      <c r="R345" s="46"/>
      <c r="S345" s="46"/>
      <c r="T345" s="46"/>
      <c r="U345" s="50"/>
      <c r="V345" s="46"/>
    </row>
    <row r="346" spans="2:22" s="27" customFormat="1">
      <c r="B346" s="18"/>
      <c r="C346" s="18"/>
      <c r="D346" s="18"/>
      <c r="E346" s="18"/>
      <c r="F346" s="18"/>
      <c r="G346" s="18"/>
      <c r="H346" s="18"/>
      <c r="I346" s="71"/>
      <c r="J346" s="71"/>
      <c r="K346" s="71"/>
      <c r="L346" s="71"/>
      <c r="M346" s="71"/>
      <c r="N346" s="71"/>
      <c r="O346" s="71"/>
      <c r="P346" s="46"/>
      <c r="Q346" s="46"/>
      <c r="R346" s="46"/>
      <c r="S346" s="46"/>
      <c r="T346" s="46"/>
      <c r="U346" s="50"/>
      <c r="V346" s="46"/>
    </row>
    <row r="347" spans="2:22" s="27" customFormat="1">
      <c r="B347" s="18"/>
      <c r="C347" s="18"/>
      <c r="D347" s="18"/>
      <c r="E347" s="18"/>
      <c r="F347" s="18"/>
      <c r="G347" s="18"/>
      <c r="H347" s="18"/>
      <c r="I347" s="71"/>
      <c r="J347" s="71"/>
      <c r="K347" s="71"/>
      <c r="L347" s="71"/>
      <c r="M347" s="71"/>
      <c r="N347" s="71"/>
      <c r="O347" s="71"/>
      <c r="P347" s="46"/>
      <c r="Q347" s="46"/>
      <c r="R347" s="46"/>
      <c r="S347" s="46"/>
      <c r="T347" s="46"/>
      <c r="U347" s="50"/>
      <c r="V347" s="46"/>
    </row>
    <row r="348" spans="2:22" s="27" customFormat="1">
      <c r="B348" s="18"/>
      <c r="C348" s="18"/>
      <c r="D348" s="18"/>
      <c r="E348" s="18"/>
      <c r="F348" s="18"/>
      <c r="G348" s="18"/>
      <c r="H348" s="18"/>
      <c r="I348" s="71"/>
      <c r="J348" s="71"/>
      <c r="K348" s="71"/>
      <c r="L348" s="71"/>
      <c r="M348" s="71"/>
      <c r="N348" s="71"/>
      <c r="O348" s="71"/>
      <c r="P348" s="46"/>
      <c r="Q348" s="46"/>
      <c r="R348" s="46"/>
      <c r="S348" s="46"/>
      <c r="T348" s="46"/>
      <c r="U348" s="50"/>
      <c r="V348" s="46"/>
    </row>
    <row r="349" spans="2:22" s="27" customFormat="1">
      <c r="B349" s="18"/>
      <c r="C349" s="18"/>
      <c r="D349" s="18"/>
      <c r="E349" s="18"/>
      <c r="F349" s="18"/>
      <c r="G349" s="18"/>
      <c r="H349" s="18"/>
      <c r="I349" s="71"/>
      <c r="J349" s="71"/>
      <c r="K349" s="71"/>
      <c r="L349" s="71"/>
      <c r="M349" s="71"/>
      <c r="N349" s="71"/>
      <c r="O349" s="71"/>
      <c r="P349" s="46"/>
      <c r="Q349" s="46"/>
      <c r="R349" s="46"/>
      <c r="S349" s="46"/>
      <c r="T349" s="46"/>
      <c r="U349" s="50"/>
      <c r="V349" s="46"/>
    </row>
    <row r="350" spans="2:22" s="27" customFormat="1">
      <c r="B350" s="18"/>
      <c r="C350" s="18"/>
      <c r="D350" s="18"/>
      <c r="E350" s="18"/>
      <c r="F350" s="18"/>
      <c r="G350" s="18"/>
      <c r="H350" s="18"/>
      <c r="I350" s="71"/>
      <c r="J350" s="71"/>
      <c r="K350" s="71"/>
      <c r="L350" s="71"/>
      <c r="M350" s="71"/>
      <c r="N350" s="71"/>
      <c r="O350" s="71"/>
      <c r="P350" s="46"/>
      <c r="Q350" s="46"/>
      <c r="R350" s="46"/>
      <c r="S350" s="46"/>
      <c r="T350" s="46"/>
      <c r="U350" s="50"/>
      <c r="V350" s="46"/>
    </row>
    <row r="351" spans="2:22" s="27" customFormat="1">
      <c r="B351" s="18"/>
      <c r="C351" s="18"/>
      <c r="D351" s="18"/>
      <c r="E351" s="18"/>
      <c r="F351" s="18"/>
      <c r="G351" s="18"/>
      <c r="H351" s="18"/>
      <c r="I351" s="71"/>
      <c r="J351" s="71"/>
      <c r="K351" s="71"/>
      <c r="L351" s="71"/>
      <c r="M351" s="71"/>
      <c r="N351" s="71"/>
      <c r="O351" s="71"/>
      <c r="P351" s="46"/>
      <c r="Q351" s="46"/>
      <c r="R351" s="46"/>
      <c r="S351" s="46"/>
      <c r="T351" s="46"/>
      <c r="U351" s="50"/>
      <c r="V351" s="46"/>
    </row>
    <row r="352" spans="2:22" s="27" customFormat="1">
      <c r="B352" s="18"/>
      <c r="C352" s="18"/>
      <c r="D352" s="18"/>
      <c r="E352" s="18"/>
      <c r="F352" s="18"/>
      <c r="G352" s="18"/>
      <c r="H352" s="18"/>
      <c r="I352" s="71"/>
      <c r="J352" s="71"/>
      <c r="K352" s="71"/>
      <c r="L352" s="71"/>
      <c r="M352" s="71"/>
      <c r="N352" s="71"/>
      <c r="O352" s="71"/>
      <c r="P352" s="46"/>
      <c r="Q352" s="46"/>
      <c r="R352" s="46"/>
      <c r="S352" s="46"/>
      <c r="T352" s="46"/>
      <c r="U352" s="50"/>
      <c r="V352" s="46"/>
    </row>
    <row r="353" spans="2:22" s="27" customFormat="1">
      <c r="B353" s="18"/>
      <c r="C353" s="18"/>
      <c r="D353" s="18"/>
      <c r="E353" s="18"/>
      <c r="F353" s="18"/>
      <c r="G353" s="18"/>
      <c r="H353" s="18"/>
      <c r="I353" s="71"/>
      <c r="J353" s="71"/>
      <c r="K353" s="71"/>
      <c r="L353" s="71"/>
      <c r="M353" s="71"/>
      <c r="N353" s="71"/>
      <c r="O353" s="71"/>
      <c r="P353" s="46"/>
      <c r="Q353" s="46"/>
      <c r="R353" s="46"/>
      <c r="S353" s="46"/>
      <c r="T353" s="46"/>
      <c r="U353" s="50"/>
      <c r="V353" s="46"/>
    </row>
    <row r="354" spans="2:22" s="27" customFormat="1">
      <c r="B354" s="18"/>
      <c r="C354" s="18"/>
      <c r="D354" s="18"/>
      <c r="E354" s="18"/>
      <c r="F354" s="18"/>
      <c r="G354" s="18"/>
      <c r="H354" s="18"/>
      <c r="I354" s="71"/>
      <c r="J354" s="71"/>
      <c r="K354" s="71"/>
      <c r="L354" s="71"/>
      <c r="M354" s="71"/>
      <c r="N354" s="71"/>
      <c r="O354" s="71"/>
      <c r="P354" s="46"/>
      <c r="Q354" s="46"/>
      <c r="R354" s="46"/>
      <c r="S354" s="46"/>
      <c r="T354" s="46"/>
      <c r="U354" s="50"/>
      <c r="V354" s="46"/>
    </row>
    <row r="355" spans="2:22" s="27" customFormat="1">
      <c r="B355" s="18"/>
      <c r="C355" s="18"/>
      <c r="D355" s="18"/>
      <c r="E355" s="18"/>
      <c r="F355" s="18"/>
      <c r="G355" s="18"/>
      <c r="H355" s="18"/>
      <c r="I355" s="71"/>
      <c r="J355" s="71"/>
      <c r="K355" s="71"/>
      <c r="L355" s="71"/>
      <c r="M355" s="71"/>
      <c r="N355" s="71"/>
      <c r="O355" s="71"/>
      <c r="P355" s="46"/>
      <c r="Q355" s="46"/>
      <c r="R355" s="46"/>
      <c r="S355" s="46"/>
      <c r="T355" s="46"/>
      <c r="U355" s="50"/>
      <c r="V355" s="46"/>
    </row>
    <row r="356" spans="2:22" s="27" customFormat="1">
      <c r="B356" s="18"/>
      <c r="C356" s="18"/>
      <c r="D356" s="18"/>
      <c r="E356" s="18"/>
      <c r="F356" s="18"/>
      <c r="G356" s="18"/>
      <c r="H356" s="18"/>
      <c r="I356" s="71"/>
      <c r="J356" s="71"/>
      <c r="K356" s="71"/>
      <c r="L356" s="71"/>
      <c r="M356" s="71"/>
      <c r="N356" s="71"/>
      <c r="O356" s="71"/>
      <c r="P356" s="46"/>
      <c r="Q356" s="46"/>
      <c r="R356" s="46"/>
      <c r="S356" s="46"/>
      <c r="T356" s="46"/>
      <c r="U356" s="50"/>
      <c r="V356" s="46"/>
    </row>
    <row r="357" spans="2:22" s="27" customFormat="1">
      <c r="B357" s="18"/>
      <c r="C357" s="18"/>
      <c r="D357" s="18"/>
      <c r="E357" s="18"/>
      <c r="F357" s="18"/>
      <c r="G357" s="18"/>
      <c r="H357" s="18"/>
      <c r="I357" s="71"/>
      <c r="J357" s="71"/>
      <c r="K357" s="71"/>
      <c r="L357" s="71"/>
      <c r="M357" s="71"/>
      <c r="N357" s="71"/>
      <c r="O357" s="71"/>
      <c r="P357" s="46"/>
      <c r="Q357" s="46"/>
      <c r="R357" s="46"/>
      <c r="S357" s="46"/>
      <c r="T357" s="46"/>
      <c r="U357" s="50"/>
      <c r="V357" s="46"/>
    </row>
    <row r="358" spans="2:22" s="27" customFormat="1">
      <c r="B358" s="18"/>
      <c r="C358" s="18"/>
      <c r="D358" s="18"/>
      <c r="E358" s="18"/>
      <c r="F358" s="18"/>
      <c r="G358" s="18"/>
      <c r="H358" s="18"/>
      <c r="I358" s="71"/>
      <c r="J358" s="71"/>
      <c r="K358" s="71"/>
      <c r="L358" s="71"/>
      <c r="M358" s="71"/>
      <c r="N358" s="71"/>
      <c r="O358" s="71"/>
      <c r="P358" s="46"/>
      <c r="Q358" s="46"/>
      <c r="R358" s="46"/>
      <c r="S358" s="46"/>
      <c r="T358" s="46"/>
      <c r="U358" s="50"/>
      <c r="V358" s="46"/>
    </row>
    <row r="359" spans="2:22" s="27" customFormat="1">
      <c r="B359" s="18"/>
      <c r="C359" s="18"/>
      <c r="D359" s="18"/>
      <c r="E359" s="18"/>
      <c r="F359" s="18"/>
      <c r="G359" s="18"/>
      <c r="H359" s="18"/>
      <c r="I359" s="71"/>
      <c r="J359" s="71"/>
      <c r="K359" s="71"/>
      <c r="L359" s="71"/>
      <c r="M359" s="71"/>
      <c r="N359" s="71"/>
      <c r="O359" s="71"/>
      <c r="P359" s="46"/>
      <c r="Q359" s="46"/>
      <c r="R359" s="46"/>
      <c r="S359" s="46"/>
      <c r="T359" s="46"/>
      <c r="U359" s="50"/>
      <c r="V359" s="46"/>
    </row>
    <row r="360" spans="2:22" s="27" customFormat="1">
      <c r="B360" s="18"/>
      <c r="C360" s="18"/>
      <c r="D360" s="18"/>
      <c r="E360" s="18"/>
      <c r="F360" s="18"/>
      <c r="G360" s="18"/>
      <c r="H360" s="18"/>
      <c r="I360" s="71"/>
      <c r="J360" s="71"/>
      <c r="K360" s="71"/>
      <c r="L360" s="71"/>
      <c r="M360" s="71"/>
      <c r="N360" s="71"/>
      <c r="O360" s="71"/>
      <c r="P360" s="46"/>
      <c r="Q360" s="46"/>
      <c r="R360" s="46"/>
      <c r="S360" s="46"/>
      <c r="T360" s="46"/>
      <c r="U360" s="50"/>
      <c r="V360" s="46"/>
    </row>
    <row r="361" spans="2:22" s="27" customFormat="1">
      <c r="B361" s="18"/>
      <c r="C361" s="18"/>
      <c r="D361" s="18"/>
      <c r="E361" s="18"/>
      <c r="F361" s="18"/>
      <c r="G361" s="18"/>
      <c r="H361" s="18"/>
      <c r="I361" s="71"/>
      <c r="J361" s="71"/>
      <c r="K361" s="71"/>
      <c r="L361" s="71"/>
      <c r="M361" s="71"/>
      <c r="N361" s="71"/>
      <c r="O361" s="71"/>
      <c r="P361" s="46"/>
      <c r="Q361" s="46"/>
      <c r="R361" s="46"/>
      <c r="S361" s="46"/>
      <c r="T361" s="46"/>
      <c r="U361" s="50"/>
      <c r="V361" s="46"/>
    </row>
    <row r="362" spans="2:22" s="27" customFormat="1">
      <c r="B362" s="18"/>
      <c r="C362" s="18"/>
      <c r="D362" s="18"/>
      <c r="E362" s="18"/>
      <c r="F362" s="18"/>
      <c r="G362" s="18"/>
      <c r="H362" s="18"/>
      <c r="I362" s="71"/>
      <c r="J362" s="71"/>
      <c r="K362" s="71"/>
      <c r="L362" s="71"/>
      <c r="M362" s="71"/>
      <c r="N362" s="71"/>
      <c r="O362" s="71"/>
      <c r="P362" s="46"/>
      <c r="Q362" s="46"/>
      <c r="R362" s="46"/>
      <c r="S362" s="46"/>
      <c r="T362" s="46"/>
      <c r="U362" s="50"/>
      <c r="V362" s="46"/>
    </row>
    <row r="363" spans="2:22" s="27" customFormat="1">
      <c r="B363" s="18"/>
      <c r="C363" s="18"/>
      <c r="D363" s="18"/>
      <c r="E363" s="18"/>
      <c r="F363" s="18"/>
      <c r="G363" s="18"/>
      <c r="H363" s="18"/>
      <c r="I363" s="71"/>
      <c r="J363" s="71"/>
      <c r="K363" s="71"/>
      <c r="L363" s="71"/>
      <c r="M363" s="71"/>
      <c r="N363" s="71"/>
      <c r="O363" s="71"/>
      <c r="P363" s="46"/>
      <c r="Q363" s="46"/>
      <c r="R363" s="46"/>
      <c r="S363" s="46"/>
      <c r="T363" s="46"/>
      <c r="U363" s="50"/>
      <c r="V363" s="46"/>
    </row>
    <row r="364" spans="2:22" s="27" customFormat="1">
      <c r="B364" s="18"/>
      <c r="C364" s="18"/>
      <c r="D364" s="18"/>
      <c r="E364" s="18"/>
      <c r="F364" s="18"/>
      <c r="G364" s="18"/>
      <c r="H364" s="18"/>
      <c r="I364" s="71"/>
      <c r="J364" s="71"/>
      <c r="K364" s="71"/>
      <c r="L364" s="71"/>
      <c r="M364" s="71"/>
      <c r="N364" s="71"/>
      <c r="O364" s="71"/>
      <c r="P364" s="46"/>
      <c r="Q364" s="46"/>
      <c r="R364" s="46"/>
      <c r="S364" s="46"/>
      <c r="T364" s="46"/>
      <c r="U364" s="50"/>
      <c r="V364" s="46"/>
    </row>
    <row r="365" spans="2:22" s="27" customFormat="1">
      <c r="B365" s="18"/>
      <c r="C365" s="18"/>
      <c r="D365" s="18"/>
      <c r="E365" s="18"/>
      <c r="F365" s="18"/>
      <c r="G365" s="18"/>
      <c r="H365" s="18"/>
      <c r="I365" s="71"/>
      <c r="J365" s="71"/>
      <c r="K365" s="71"/>
      <c r="L365" s="71"/>
      <c r="M365" s="71"/>
      <c r="N365" s="71"/>
      <c r="O365" s="71"/>
      <c r="P365" s="46"/>
      <c r="Q365" s="46"/>
      <c r="R365" s="46"/>
      <c r="S365" s="46"/>
      <c r="T365" s="46"/>
      <c r="U365" s="50"/>
      <c r="V365" s="46"/>
    </row>
    <row r="366" spans="2:22" s="27" customFormat="1">
      <c r="B366" s="18"/>
      <c r="C366" s="18"/>
      <c r="D366" s="18"/>
      <c r="E366" s="18"/>
      <c r="F366" s="18"/>
      <c r="G366" s="18"/>
      <c r="H366" s="18"/>
      <c r="I366" s="71"/>
      <c r="J366" s="71"/>
      <c r="K366" s="71"/>
      <c r="L366" s="71"/>
      <c r="M366" s="71"/>
      <c r="N366" s="71"/>
      <c r="O366" s="71"/>
      <c r="P366" s="46"/>
      <c r="Q366" s="46"/>
      <c r="R366" s="46"/>
      <c r="S366" s="46"/>
      <c r="T366" s="46"/>
      <c r="U366" s="50"/>
      <c r="V366" s="46"/>
    </row>
    <row r="367" spans="2:22" s="27" customFormat="1">
      <c r="B367" s="18"/>
      <c r="C367" s="18"/>
      <c r="D367" s="18"/>
      <c r="E367" s="18"/>
      <c r="F367" s="18"/>
      <c r="G367" s="18"/>
      <c r="H367" s="18"/>
      <c r="I367" s="71"/>
      <c r="J367" s="71"/>
      <c r="K367" s="71"/>
      <c r="L367" s="71"/>
      <c r="M367" s="71"/>
      <c r="N367" s="71"/>
      <c r="O367" s="71"/>
      <c r="P367" s="46"/>
      <c r="Q367" s="46"/>
      <c r="R367" s="46"/>
      <c r="S367" s="46"/>
      <c r="T367" s="46"/>
      <c r="U367" s="50"/>
      <c r="V367" s="46"/>
    </row>
    <row r="368" spans="2:22" s="27" customFormat="1">
      <c r="B368" s="18"/>
      <c r="C368" s="18"/>
      <c r="D368" s="18"/>
      <c r="E368" s="18"/>
      <c r="F368" s="18"/>
      <c r="G368" s="18"/>
      <c r="H368" s="18"/>
      <c r="I368" s="71"/>
      <c r="J368" s="71"/>
      <c r="K368" s="71"/>
      <c r="L368" s="71"/>
      <c r="M368" s="71"/>
      <c r="N368" s="71"/>
      <c r="O368" s="71"/>
      <c r="P368" s="46"/>
      <c r="Q368" s="46"/>
      <c r="R368" s="46"/>
      <c r="S368" s="46"/>
      <c r="T368" s="46"/>
      <c r="U368" s="50"/>
      <c r="V368" s="46"/>
    </row>
    <row r="369" spans="2:22" s="27" customFormat="1">
      <c r="B369" s="18"/>
      <c r="C369" s="18"/>
      <c r="D369" s="18"/>
      <c r="E369" s="18"/>
      <c r="F369" s="18"/>
      <c r="G369" s="18"/>
      <c r="H369" s="18"/>
      <c r="I369" s="71"/>
      <c r="J369" s="71"/>
      <c r="K369" s="71"/>
      <c r="L369" s="71"/>
      <c r="M369" s="71"/>
      <c r="N369" s="71"/>
      <c r="O369" s="71"/>
      <c r="P369" s="46"/>
      <c r="Q369" s="46"/>
      <c r="R369" s="46"/>
      <c r="S369" s="46"/>
      <c r="T369" s="46"/>
      <c r="U369" s="50"/>
      <c r="V369" s="46"/>
    </row>
    <row r="370" spans="2:22" s="27" customFormat="1">
      <c r="B370" s="18"/>
      <c r="C370" s="18"/>
      <c r="D370" s="18"/>
      <c r="E370" s="18"/>
      <c r="F370" s="18"/>
      <c r="G370" s="18"/>
      <c r="H370" s="18"/>
      <c r="I370" s="71"/>
      <c r="J370" s="71"/>
      <c r="K370" s="71"/>
      <c r="L370" s="71"/>
      <c r="M370" s="71"/>
      <c r="N370" s="71"/>
      <c r="O370" s="71"/>
      <c r="P370" s="46"/>
      <c r="Q370" s="46"/>
      <c r="R370" s="46"/>
      <c r="S370" s="46"/>
      <c r="T370" s="46"/>
      <c r="U370" s="50"/>
      <c r="V370" s="46"/>
    </row>
    <row r="371" spans="2:22" s="27" customFormat="1">
      <c r="B371" s="18"/>
      <c r="C371" s="18"/>
      <c r="D371" s="18"/>
      <c r="E371" s="18"/>
      <c r="F371" s="18"/>
      <c r="G371" s="18"/>
      <c r="H371" s="18"/>
      <c r="I371" s="71"/>
      <c r="J371" s="71"/>
      <c r="K371" s="71"/>
      <c r="L371" s="71"/>
      <c r="M371" s="71"/>
      <c r="N371" s="71"/>
      <c r="O371" s="71"/>
      <c r="P371" s="46"/>
      <c r="Q371" s="46"/>
      <c r="R371" s="46"/>
      <c r="S371" s="46"/>
      <c r="T371" s="46"/>
      <c r="U371" s="50"/>
      <c r="V371" s="46"/>
    </row>
    <row r="372" spans="2:22" s="27" customFormat="1">
      <c r="B372" s="18"/>
      <c r="C372" s="18"/>
      <c r="D372" s="18"/>
      <c r="E372" s="18"/>
      <c r="F372" s="18"/>
      <c r="G372" s="18"/>
      <c r="H372" s="18"/>
      <c r="I372" s="71"/>
      <c r="J372" s="71"/>
      <c r="K372" s="71"/>
      <c r="L372" s="71"/>
      <c r="M372" s="71"/>
      <c r="N372" s="71"/>
      <c r="O372" s="71"/>
      <c r="P372" s="46"/>
      <c r="Q372" s="46"/>
      <c r="R372" s="46"/>
      <c r="S372" s="46"/>
      <c r="T372" s="46"/>
      <c r="U372" s="50"/>
      <c r="V372" s="46"/>
    </row>
    <row r="373" spans="2:22" s="27" customFormat="1">
      <c r="B373" s="18"/>
      <c r="C373" s="18"/>
      <c r="D373" s="18"/>
      <c r="E373" s="18"/>
      <c r="F373" s="18"/>
      <c r="G373" s="18"/>
      <c r="H373" s="18"/>
      <c r="I373" s="71"/>
      <c r="J373" s="71"/>
      <c r="K373" s="71"/>
      <c r="L373" s="71"/>
      <c r="M373" s="71"/>
      <c r="N373" s="71"/>
      <c r="O373" s="71"/>
      <c r="P373" s="46"/>
      <c r="Q373" s="46"/>
      <c r="R373" s="46"/>
      <c r="S373" s="46"/>
      <c r="T373" s="46"/>
      <c r="U373" s="50"/>
      <c r="V373" s="46"/>
    </row>
    <row r="374" spans="2:22" s="27" customFormat="1">
      <c r="B374" s="18"/>
      <c r="C374" s="18"/>
      <c r="D374" s="18"/>
      <c r="E374" s="18"/>
      <c r="F374" s="18"/>
      <c r="G374" s="18"/>
      <c r="H374" s="18"/>
      <c r="I374" s="71"/>
      <c r="J374" s="71"/>
      <c r="K374" s="71"/>
      <c r="L374" s="71"/>
      <c r="M374" s="71"/>
      <c r="N374" s="71"/>
      <c r="O374" s="71"/>
      <c r="P374" s="46"/>
      <c r="Q374" s="46"/>
      <c r="R374" s="46"/>
      <c r="S374" s="46"/>
      <c r="T374" s="46"/>
      <c r="U374" s="50"/>
      <c r="V374" s="46"/>
    </row>
    <row r="375" spans="2:22" s="27" customFormat="1">
      <c r="B375" s="18"/>
      <c r="C375" s="18"/>
      <c r="D375" s="18"/>
      <c r="E375" s="18"/>
      <c r="F375" s="18"/>
      <c r="G375" s="18"/>
      <c r="H375" s="18"/>
      <c r="I375" s="71"/>
      <c r="J375" s="71"/>
      <c r="K375" s="71"/>
      <c r="L375" s="71"/>
      <c r="M375" s="71"/>
      <c r="N375" s="71"/>
      <c r="O375" s="71"/>
      <c r="P375" s="46"/>
      <c r="Q375" s="46"/>
      <c r="R375" s="46"/>
      <c r="S375" s="46"/>
      <c r="T375" s="46"/>
      <c r="U375" s="50"/>
      <c r="V375" s="46"/>
    </row>
    <row r="376" spans="2:22" s="27" customFormat="1">
      <c r="B376" s="18"/>
      <c r="C376" s="18"/>
      <c r="D376" s="18"/>
      <c r="E376" s="18"/>
      <c r="F376" s="18"/>
      <c r="G376" s="18"/>
      <c r="H376" s="18"/>
      <c r="I376" s="71"/>
      <c r="J376" s="71"/>
      <c r="K376" s="71"/>
      <c r="L376" s="71"/>
      <c r="M376" s="71"/>
      <c r="N376" s="71"/>
      <c r="O376" s="71"/>
      <c r="P376" s="46"/>
      <c r="Q376" s="46"/>
      <c r="R376" s="46"/>
      <c r="S376" s="46"/>
      <c r="T376" s="46"/>
      <c r="U376" s="50"/>
      <c r="V376" s="46"/>
    </row>
    <row r="377" spans="2:22" s="27" customFormat="1">
      <c r="B377" s="18"/>
      <c r="C377" s="18"/>
      <c r="D377" s="18"/>
      <c r="E377" s="18"/>
      <c r="F377" s="18"/>
      <c r="G377" s="18"/>
      <c r="H377" s="18"/>
      <c r="I377" s="71"/>
      <c r="J377" s="71"/>
      <c r="K377" s="71"/>
      <c r="L377" s="71"/>
      <c r="M377" s="71"/>
      <c r="N377" s="71"/>
      <c r="O377" s="71"/>
      <c r="P377" s="46"/>
      <c r="Q377" s="46"/>
      <c r="R377" s="46"/>
      <c r="S377" s="46"/>
      <c r="T377" s="46"/>
      <c r="U377" s="50"/>
      <c r="V377" s="46"/>
    </row>
    <row r="378" spans="2:22" s="27" customFormat="1">
      <c r="B378" s="18"/>
      <c r="C378" s="18"/>
      <c r="D378" s="18"/>
      <c r="E378" s="18"/>
      <c r="F378" s="18"/>
      <c r="G378" s="18"/>
      <c r="H378" s="18"/>
      <c r="I378" s="71"/>
      <c r="J378" s="71"/>
      <c r="K378" s="71"/>
      <c r="L378" s="71"/>
      <c r="M378" s="71"/>
      <c r="N378" s="71"/>
      <c r="O378" s="71"/>
      <c r="P378" s="46"/>
      <c r="Q378" s="46"/>
      <c r="R378" s="46"/>
      <c r="S378" s="46"/>
      <c r="T378" s="46"/>
      <c r="U378" s="50"/>
      <c r="V378" s="46"/>
    </row>
    <row r="379" spans="2:22" s="27" customFormat="1">
      <c r="B379" s="18"/>
      <c r="C379" s="18"/>
      <c r="D379" s="18"/>
      <c r="E379" s="18"/>
      <c r="F379" s="18"/>
      <c r="G379" s="18"/>
      <c r="H379" s="18"/>
      <c r="I379" s="71"/>
      <c r="J379" s="71"/>
      <c r="K379" s="71"/>
      <c r="L379" s="71"/>
      <c r="M379" s="71"/>
      <c r="N379" s="71"/>
      <c r="O379" s="71"/>
      <c r="P379" s="46"/>
      <c r="Q379" s="46"/>
      <c r="R379" s="46"/>
      <c r="S379" s="46"/>
      <c r="T379" s="46"/>
      <c r="U379" s="50"/>
      <c r="V379" s="46"/>
    </row>
    <row r="380" spans="2:22" s="27" customFormat="1">
      <c r="B380" s="18"/>
      <c r="C380" s="18"/>
      <c r="D380" s="18"/>
      <c r="E380" s="18"/>
      <c r="F380" s="18"/>
      <c r="G380" s="18"/>
      <c r="H380" s="18"/>
      <c r="I380" s="71"/>
      <c r="J380" s="71"/>
      <c r="K380" s="71"/>
      <c r="L380" s="71"/>
      <c r="M380" s="71"/>
      <c r="N380" s="71"/>
      <c r="O380" s="71"/>
      <c r="P380" s="46"/>
      <c r="Q380" s="46"/>
      <c r="R380" s="46"/>
      <c r="S380" s="46"/>
      <c r="T380" s="46"/>
      <c r="U380" s="50"/>
      <c r="V380" s="46"/>
    </row>
    <row r="381" spans="2:22" s="27" customFormat="1">
      <c r="B381" s="18"/>
      <c r="C381" s="18"/>
      <c r="D381" s="18"/>
      <c r="E381" s="18"/>
      <c r="F381" s="18"/>
      <c r="G381" s="18"/>
      <c r="H381" s="18"/>
      <c r="I381" s="71"/>
      <c r="J381" s="71"/>
      <c r="K381" s="71"/>
      <c r="L381" s="71"/>
      <c r="M381" s="71"/>
      <c r="N381" s="71"/>
      <c r="O381" s="71"/>
      <c r="P381" s="46"/>
      <c r="Q381" s="46"/>
      <c r="R381" s="46"/>
      <c r="S381" s="46"/>
      <c r="T381" s="46"/>
      <c r="U381" s="50"/>
      <c r="V381" s="46"/>
    </row>
    <row r="382" spans="2:22" s="27" customFormat="1">
      <c r="B382" s="18"/>
      <c r="C382" s="18"/>
      <c r="D382" s="18"/>
      <c r="E382" s="18"/>
      <c r="F382" s="18"/>
      <c r="G382" s="18"/>
      <c r="H382" s="18"/>
      <c r="I382" s="71"/>
      <c r="J382" s="71"/>
      <c r="K382" s="71"/>
      <c r="L382" s="71"/>
      <c r="M382" s="71"/>
      <c r="N382" s="71"/>
      <c r="O382" s="71"/>
      <c r="P382" s="46"/>
      <c r="Q382" s="46"/>
      <c r="R382" s="46"/>
      <c r="S382" s="46"/>
      <c r="T382" s="46"/>
      <c r="U382" s="50"/>
      <c r="V382" s="46"/>
    </row>
    <row r="383" spans="2:22" s="27" customFormat="1">
      <c r="B383" s="18"/>
      <c r="C383" s="18"/>
      <c r="D383" s="18"/>
      <c r="E383" s="18"/>
      <c r="F383" s="18"/>
      <c r="G383" s="18"/>
      <c r="H383" s="18"/>
      <c r="I383" s="71"/>
      <c r="J383" s="71"/>
      <c r="K383" s="71"/>
      <c r="L383" s="71"/>
      <c r="M383" s="71"/>
      <c r="N383" s="71"/>
      <c r="O383" s="71"/>
      <c r="P383" s="46"/>
      <c r="Q383" s="46"/>
      <c r="R383" s="46"/>
      <c r="S383" s="46"/>
      <c r="T383" s="46"/>
      <c r="U383" s="50"/>
      <c r="V383" s="46"/>
    </row>
    <row r="384" spans="2:22" s="27" customFormat="1">
      <c r="B384" s="18"/>
      <c r="C384" s="18"/>
      <c r="D384" s="18"/>
      <c r="E384" s="18"/>
      <c r="F384" s="18"/>
      <c r="G384" s="18"/>
      <c r="H384" s="18"/>
      <c r="I384" s="71"/>
      <c r="J384" s="71"/>
      <c r="K384" s="71"/>
      <c r="L384" s="71"/>
      <c r="M384" s="71"/>
      <c r="N384" s="71"/>
      <c r="O384" s="71"/>
      <c r="P384" s="46"/>
      <c r="Q384" s="46"/>
      <c r="R384" s="46"/>
      <c r="S384" s="46"/>
      <c r="T384" s="46"/>
      <c r="U384" s="50"/>
      <c r="V384" s="46"/>
    </row>
    <row r="385" spans="2:22" s="27" customFormat="1">
      <c r="B385" s="18"/>
      <c r="C385" s="18"/>
      <c r="D385" s="18"/>
      <c r="E385" s="18"/>
      <c r="F385" s="18"/>
      <c r="G385" s="18"/>
      <c r="H385" s="18"/>
      <c r="I385" s="71"/>
      <c r="J385" s="71"/>
      <c r="K385" s="71"/>
      <c r="L385" s="71"/>
      <c r="M385" s="71"/>
      <c r="N385" s="71"/>
      <c r="O385" s="71"/>
      <c r="P385" s="46"/>
      <c r="Q385" s="46"/>
      <c r="R385" s="46"/>
      <c r="S385" s="46"/>
      <c r="T385" s="46"/>
      <c r="U385" s="50"/>
      <c r="V385" s="46"/>
    </row>
    <row r="386" spans="2:22" s="27" customFormat="1">
      <c r="B386" s="18"/>
      <c r="C386" s="18"/>
      <c r="D386" s="18"/>
      <c r="E386" s="18"/>
      <c r="F386" s="18"/>
      <c r="G386" s="18"/>
      <c r="H386" s="18"/>
      <c r="I386" s="71"/>
      <c r="J386" s="71"/>
      <c r="K386" s="71"/>
      <c r="L386" s="71"/>
      <c r="M386" s="71"/>
      <c r="N386" s="71"/>
      <c r="O386" s="71"/>
      <c r="P386" s="46"/>
      <c r="Q386" s="46"/>
      <c r="R386" s="46"/>
      <c r="S386" s="46"/>
      <c r="T386" s="46"/>
      <c r="U386" s="50"/>
      <c r="V386" s="46"/>
    </row>
    <row r="387" spans="2:22" s="27" customFormat="1">
      <c r="B387" s="18"/>
      <c r="C387" s="18"/>
      <c r="D387" s="18"/>
      <c r="E387" s="18"/>
      <c r="F387" s="18"/>
      <c r="G387" s="18"/>
      <c r="H387" s="18"/>
      <c r="I387" s="71"/>
      <c r="J387" s="71"/>
      <c r="K387" s="71"/>
      <c r="L387" s="71"/>
      <c r="M387" s="71"/>
      <c r="N387" s="71"/>
      <c r="O387" s="71"/>
      <c r="P387" s="46"/>
      <c r="Q387" s="46"/>
      <c r="R387" s="46"/>
      <c r="S387" s="46"/>
      <c r="T387" s="46"/>
      <c r="U387" s="50"/>
      <c r="V387" s="46"/>
    </row>
    <row r="388" spans="2:22" s="27" customFormat="1">
      <c r="B388" s="18"/>
      <c r="C388" s="18"/>
      <c r="D388" s="18"/>
      <c r="E388" s="18"/>
      <c r="F388" s="18"/>
      <c r="G388" s="18"/>
      <c r="H388" s="18"/>
      <c r="I388" s="71"/>
      <c r="J388" s="71"/>
      <c r="K388" s="71"/>
      <c r="L388" s="71"/>
      <c r="M388" s="71"/>
      <c r="N388" s="71"/>
      <c r="O388" s="71"/>
      <c r="P388" s="46"/>
      <c r="Q388" s="46"/>
      <c r="R388" s="46"/>
      <c r="S388" s="46"/>
      <c r="T388" s="46"/>
      <c r="U388" s="50"/>
      <c r="V388" s="46"/>
    </row>
    <row r="389" spans="2:22" s="27" customFormat="1">
      <c r="B389" s="18"/>
      <c r="C389" s="18"/>
      <c r="D389" s="18"/>
      <c r="E389" s="18"/>
      <c r="F389" s="18"/>
      <c r="G389" s="18"/>
      <c r="H389" s="18"/>
      <c r="I389" s="71"/>
      <c r="J389" s="71"/>
      <c r="K389" s="71"/>
      <c r="L389" s="71"/>
      <c r="M389" s="71"/>
      <c r="N389" s="71"/>
      <c r="O389" s="71"/>
      <c r="P389" s="46"/>
      <c r="Q389" s="46"/>
      <c r="R389" s="46"/>
      <c r="S389" s="46"/>
      <c r="T389" s="46"/>
      <c r="U389" s="50"/>
      <c r="V389" s="46"/>
    </row>
    <row r="390" spans="2:22" s="27" customFormat="1">
      <c r="B390" s="18"/>
      <c r="C390" s="18"/>
      <c r="D390" s="18"/>
      <c r="E390" s="18"/>
      <c r="F390" s="18"/>
      <c r="G390" s="18"/>
      <c r="H390" s="18"/>
      <c r="I390" s="71"/>
      <c r="J390" s="71"/>
      <c r="K390" s="71"/>
      <c r="L390" s="71"/>
      <c r="M390" s="71"/>
      <c r="N390" s="71"/>
      <c r="O390" s="71"/>
      <c r="P390" s="46"/>
      <c r="Q390" s="46"/>
      <c r="R390" s="46"/>
      <c r="S390" s="46"/>
      <c r="T390" s="46"/>
      <c r="U390" s="50"/>
      <c r="V390" s="46"/>
    </row>
    <row r="391" spans="2:22" s="27" customFormat="1">
      <c r="B391" s="18"/>
      <c r="C391" s="18"/>
      <c r="D391" s="18"/>
      <c r="E391" s="18"/>
      <c r="F391" s="18"/>
      <c r="G391" s="18"/>
      <c r="H391" s="18"/>
      <c r="I391" s="71"/>
      <c r="J391" s="71"/>
      <c r="K391" s="71"/>
      <c r="L391" s="71"/>
      <c r="M391" s="71"/>
      <c r="N391" s="71"/>
      <c r="O391" s="71"/>
      <c r="P391" s="46"/>
      <c r="Q391" s="46"/>
      <c r="R391" s="46"/>
      <c r="S391" s="46"/>
      <c r="T391" s="46"/>
      <c r="U391" s="50"/>
      <c r="V391" s="46"/>
    </row>
    <row r="392" spans="2:22" s="27" customFormat="1">
      <c r="B392" s="18"/>
      <c r="C392" s="18"/>
      <c r="D392" s="18"/>
      <c r="E392" s="18"/>
      <c r="F392" s="18"/>
      <c r="G392" s="18"/>
      <c r="H392" s="18"/>
      <c r="I392" s="71"/>
      <c r="J392" s="71"/>
      <c r="K392" s="71"/>
      <c r="L392" s="71"/>
      <c r="M392" s="71"/>
      <c r="N392" s="71"/>
      <c r="O392" s="71"/>
      <c r="P392" s="46"/>
      <c r="Q392" s="46"/>
      <c r="R392" s="46"/>
      <c r="S392" s="46"/>
      <c r="T392" s="46"/>
      <c r="U392" s="50"/>
      <c r="V392" s="46"/>
    </row>
    <row r="393" spans="2:22" s="27" customFormat="1">
      <c r="B393" s="18"/>
      <c r="C393" s="18"/>
      <c r="D393" s="18"/>
      <c r="E393" s="18"/>
      <c r="F393" s="18"/>
      <c r="G393" s="18"/>
      <c r="H393" s="18"/>
      <c r="I393" s="71"/>
      <c r="J393" s="71"/>
      <c r="K393" s="71"/>
      <c r="L393" s="71"/>
      <c r="M393" s="71"/>
      <c r="N393" s="71"/>
      <c r="O393" s="71"/>
      <c r="P393" s="46"/>
      <c r="Q393" s="46"/>
      <c r="R393" s="46"/>
      <c r="S393" s="46"/>
      <c r="T393" s="46"/>
      <c r="U393" s="50"/>
      <c r="V393" s="46"/>
    </row>
    <row r="394" spans="2:22" s="27" customFormat="1">
      <c r="B394" s="18"/>
      <c r="C394" s="18"/>
      <c r="D394" s="18"/>
      <c r="E394" s="18"/>
      <c r="F394" s="18"/>
      <c r="G394" s="18"/>
      <c r="H394" s="18"/>
      <c r="I394" s="71"/>
      <c r="J394" s="71"/>
      <c r="K394" s="71"/>
      <c r="L394" s="71"/>
      <c r="M394" s="71"/>
      <c r="N394" s="71"/>
      <c r="O394" s="71"/>
      <c r="P394" s="46"/>
      <c r="Q394" s="46"/>
      <c r="R394" s="46"/>
      <c r="S394" s="46"/>
      <c r="T394" s="46"/>
      <c r="U394" s="50"/>
      <c r="V394" s="46"/>
    </row>
    <row r="395" spans="2:22" s="27" customFormat="1">
      <c r="B395" s="18"/>
      <c r="C395" s="18"/>
      <c r="D395" s="18"/>
      <c r="E395" s="18"/>
      <c r="F395" s="18"/>
      <c r="G395" s="18"/>
      <c r="H395" s="18"/>
      <c r="I395" s="71"/>
      <c r="J395" s="71"/>
      <c r="K395" s="71"/>
      <c r="L395" s="71"/>
      <c r="M395" s="71"/>
      <c r="N395" s="71"/>
      <c r="O395" s="71"/>
      <c r="P395" s="46"/>
      <c r="Q395" s="46"/>
      <c r="R395" s="46"/>
      <c r="S395" s="46"/>
      <c r="T395" s="46"/>
      <c r="U395" s="50"/>
      <c r="V395" s="46"/>
    </row>
    <row r="396" spans="2:22" s="27" customFormat="1">
      <c r="B396" s="18"/>
      <c r="C396" s="18"/>
      <c r="D396" s="18"/>
      <c r="E396" s="18"/>
      <c r="F396" s="18"/>
      <c r="G396" s="18"/>
      <c r="H396" s="18"/>
      <c r="I396" s="71"/>
      <c r="J396" s="71"/>
      <c r="K396" s="71"/>
      <c r="L396" s="71"/>
      <c r="M396" s="71"/>
      <c r="N396" s="71"/>
      <c r="O396" s="71"/>
      <c r="P396" s="46"/>
      <c r="Q396" s="46"/>
      <c r="R396" s="46"/>
      <c r="S396" s="46"/>
      <c r="T396" s="46"/>
      <c r="U396" s="50"/>
      <c r="V396" s="46"/>
    </row>
    <row r="397" spans="2:22" s="27" customFormat="1">
      <c r="B397" s="18"/>
      <c r="C397" s="18"/>
      <c r="D397" s="18"/>
      <c r="E397" s="18"/>
      <c r="F397" s="18"/>
      <c r="G397" s="18"/>
      <c r="H397" s="18"/>
      <c r="I397" s="71"/>
      <c r="J397" s="71"/>
      <c r="K397" s="71"/>
      <c r="L397" s="71"/>
      <c r="M397" s="71"/>
      <c r="N397" s="71"/>
      <c r="O397" s="71"/>
      <c r="P397" s="46"/>
      <c r="Q397" s="46"/>
      <c r="R397" s="46"/>
      <c r="S397" s="46"/>
      <c r="T397" s="46"/>
      <c r="U397" s="50"/>
      <c r="V397" s="46"/>
    </row>
    <row r="398" spans="2:22" s="27" customFormat="1">
      <c r="B398" s="18"/>
      <c r="C398" s="18"/>
      <c r="D398" s="18"/>
      <c r="E398" s="18"/>
      <c r="F398" s="18"/>
      <c r="G398" s="18"/>
      <c r="H398" s="18"/>
      <c r="I398" s="71"/>
      <c r="J398" s="71"/>
      <c r="K398" s="71"/>
      <c r="L398" s="71"/>
      <c r="M398" s="71"/>
      <c r="N398" s="71"/>
      <c r="O398" s="71"/>
      <c r="P398" s="46"/>
      <c r="Q398" s="46"/>
      <c r="R398" s="46"/>
      <c r="S398" s="46"/>
      <c r="T398" s="46"/>
      <c r="U398" s="50"/>
      <c r="V398" s="46"/>
    </row>
    <row r="399" spans="2:22" s="27" customFormat="1">
      <c r="B399" s="18"/>
      <c r="C399" s="18"/>
      <c r="D399" s="18"/>
      <c r="E399" s="18"/>
      <c r="F399" s="18"/>
      <c r="G399" s="18"/>
      <c r="H399" s="18"/>
      <c r="I399" s="71"/>
      <c r="J399" s="71"/>
      <c r="K399" s="71"/>
      <c r="L399" s="71"/>
      <c r="M399" s="71"/>
      <c r="N399" s="71"/>
      <c r="O399" s="71"/>
      <c r="P399" s="46"/>
      <c r="Q399" s="46"/>
      <c r="R399" s="46"/>
      <c r="S399" s="46"/>
      <c r="T399" s="46"/>
      <c r="U399" s="50"/>
      <c r="V399" s="46"/>
    </row>
    <row r="400" spans="2:22" s="27" customFormat="1">
      <c r="B400" s="18"/>
      <c r="C400" s="18"/>
      <c r="D400" s="18"/>
      <c r="E400" s="18"/>
      <c r="F400" s="18"/>
      <c r="G400" s="18"/>
      <c r="H400" s="18"/>
      <c r="I400" s="71"/>
      <c r="J400" s="71"/>
      <c r="K400" s="71"/>
      <c r="L400" s="71"/>
      <c r="M400" s="71"/>
      <c r="N400" s="71"/>
      <c r="O400" s="71"/>
      <c r="P400" s="46"/>
      <c r="Q400" s="46"/>
      <c r="R400" s="46"/>
      <c r="S400" s="46"/>
      <c r="T400" s="46"/>
      <c r="U400" s="50"/>
      <c r="V400" s="46"/>
    </row>
    <row r="401" spans="2:22" s="27" customFormat="1">
      <c r="B401" s="18"/>
      <c r="C401" s="18"/>
      <c r="D401" s="18"/>
      <c r="E401" s="18"/>
      <c r="F401" s="18"/>
      <c r="G401" s="18"/>
      <c r="H401" s="18"/>
      <c r="I401" s="71"/>
      <c r="J401" s="71"/>
      <c r="K401" s="71"/>
      <c r="L401" s="71"/>
      <c r="M401" s="71"/>
      <c r="N401" s="71"/>
      <c r="O401" s="71"/>
      <c r="P401" s="46"/>
      <c r="Q401" s="46"/>
      <c r="R401" s="46"/>
      <c r="S401" s="46"/>
      <c r="T401" s="46"/>
      <c r="U401" s="50"/>
      <c r="V401" s="46"/>
    </row>
    <row r="402" spans="2:22" s="27" customFormat="1">
      <c r="B402" s="18"/>
      <c r="C402" s="18"/>
      <c r="D402" s="18"/>
      <c r="E402" s="18"/>
      <c r="F402" s="18"/>
      <c r="G402" s="18"/>
      <c r="H402" s="18"/>
      <c r="I402" s="71"/>
      <c r="J402" s="71"/>
      <c r="K402" s="71"/>
      <c r="L402" s="71"/>
      <c r="M402" s="71"/>
      <c r="N402" s="71"/>
      <c r="O402" s="71"/>
      <c r="P402" s="46"/>
      <c r="Q402" s="46"/>
      <c r="R402" s="46"/>
      <c r="S402" s="46"/>
      <c r="T402" s="46"/>
      <c r="U402" s="50"/>
      <c r="V402" s="46"/>
    </row>
    <row r="403" spans="2:22" s="27" customFormat="1">
      <c r="B403" s="18"/>
      <c r="C403" s="18"/>
      <c r="D403" s="18"/>
      <c r="E403" s="18"/>
      <c r="F403" s="18"/>
      <c r="G403" s="18"/>
      <c r="H403" s="18"/>
      <c r="I403" s="71"/>
      <c r="J403" s="71"/>
      <c r="K403" s="71"/>
      <c r="L403" s="71"/>
      <c r="M403" s="71"/>
      <c r="N403" s="71"/>
      <c r="O403" s="71"/>
      <c r="P403" s="46"/>
      <c r="Q403" s="46"/>
      <c r="R403" s="46"/>
      <c r="S403" s="46"/>
      <c r="T403" s="46"/>
      <c r="U403" s="50"/>
      <c r="V403" s="46"/>
    </row>
    <row r="404" spans="2:22" s="27" customFormat="1">
      <c r="B404" s="18"/>
      <c r="C404" s="18"/>
      <c r="D404" s="18"/>
      <c r="E404" s="18"/>
      <c r="F404" s="18"/>
      <c r="G404" s="18"/>
      <c r="H404" s="18"/>
      <c r="I404" s="71"/>
      <c r="J404" s="71"/>
      <c r="K404" s="71"/>
      <c r="L404" s="71"/>
      <c r="M404" s="71"/>
      <c r="N404" s="71"/>
      <c r="O404" s="71"/>
      <c r="P404" s="46"/>
      <c r="Q404" s="46"/>
      <c r="R404" s="46"/>
      <c r="S404" s="46"/>
      <c r="T404" s="46"/>
      <c r="U404" s="50"/>
      <c r="V404" s="46"/>
    </row>
    <row r="405" spans="2:22" s="27" customFormat="1">
      <c r="B405" s="18"/>
      <c r="C405" s="18"/>
      <c r="D405" s="18"/>
      <c r="E405" s="18"/>
      <c r="F405" s="18"/>
      <c r="G405" s="18"/>
      <c r="H405" s="18"/>
      <c r="I405" s="71"/>
      <c r="J405" s="71"/>
      <c r="K405" s="71"/>
      <c r="L405" s="71"/>
      <c r="M405" s="71"/>
      <c r="N405" s="71"/>
      <c r="O405" s="71"/>
      <c r="P405" s="46"/>
      <c r="Q405" s="46"/>
      <c r="R405" s="46"/>
      <c r="S405" s="46"/>
      <c r="T405" s="46"/>
      <c r="U405" s="50"/>
      <c r="V405" s="46"/>
    </row>
    <row r="406" spans="2:22" s="27" customFormat="1">
      <c r="B406" s="18"/>
      <c r="C406" s="18"/>
      <c r="D406" s="18"/>
      <c r="E406" s="18"/>
      <c r="F406" s="18"/>
      <c r="G406" s="18"/>
      <c r="H406" s="18"/>
      <c r="I406" s="71"/>
      <c r="J406" s="71"/>
      <c r="K406" s="71"/>
      <c r="L406" s="71"/>
      <c r="M406" s="71"/>
      <c r="N406" s="71"/>
      <c r="O406" s="71"/>
      <c r="P406" s="46"/>
      <c r="Q406" s="46"/>
      <c r="R406" s="46"/>
      <c r="S406" s="46"/>
      <c r="T406" s="46"/>
      <c r="U406" s="50"/>
      <c r="V406" s="46"/>
    </row>
    <row r="407" spans="2:22" s="27" customFormat="1">
      <c r="B407" s="18"/>
      <c r="C407" s="18"/>
      <c r="D407" s="18"/>
      <c r="E407" s="18"/>
      <c r="F407" s="18"/>
      <c r="G407" s="18"/>
      <c r="H407" s="18"/>
      <c r="I407" s="71"/>
      <c r="J407" s="71"/>
      <c r="K407" s="71"/>
      <c r="L407" s="71"/>
      <c r="M407" s="71"/>
      <c r="N407" s="71"/>
      <c r="O407" s="71"/>
      <c r="P407" s="46"/>
      <c r="Q407" s="46"/>
      <c r="R407" s="46"/>
      <c r="S407" s="46"/>
      <c r="T407" s="46"/>
      <c r="U407" s="50"/>
      <c r="V407" s="46"/>
    </row>
    <row r="408" spans="2:22" s="27" customFormat="1">
      <c r="B408" s="18"/>
      <c r="C408" s="18"/>
      <c r="D408" s="18"/>
      <c r="E408" s="18"/>
      <c r="F408" s="18"/>
      <c r="G408" s="18"/>
      <c r="H408" s="18"/>
      <c r="I408" s="71"/>
      <c r="J408" s="71"/>
      <c r="K408" s="71"/>
      <c r="L408" s="71"/>
      <c r="M408" s="71"/>
      <c r="N408" s="71"/>
      <c r="O408" s="71"/>
      <c r="P408" s="46"/>
      <c r="Q408" s="46"/>
      <c r="R408" s="46"/>
      <c r="S408" s="46"/>
      <c r="T408" s="46"/>
      <c r="U408" s="50"/>
      <c r="V408" s="46"/>
    </row>
    <row r="409" spans="2:22" s="27" customFormat="1">
      <c r="B409" s="18"/>
      <c r="C409" s="18"/>
      <c r="D409" s="18"/>
      <c r="E409" s="18"/>
      <c r="F409" s="18"/>
      <c r="G409" s="18"/>
      <c r="H409" s="18"/>
      <c r="I409" s="71"/>
      <c r="J409" s="71"/>
      <c r="K409" s="71"/>
      <c r="L409" s="71"/>
      <c r="M409" s="71"/>
      <c r="N409" s="71"/>
      <c r="O409" s="71"/>
      <c r="P409" s="46"/>
      <c r="Q409" s="46"/>
      <c r="R409" s="46"/>
      <c r="S409" s="46"/>
      <c r="T409" s="46"/>
      <c r="U409" s="50"/>
      <c r="V409" s="46"/>
    </row>
    <row r="410" spans="2:22" s="27" customFormat="1">
      <c r="B410" s="18"/>
      <c r="C410" s="18"/>
      <c r="D410" s="18"/>
      <c r="E410" s="18"/>
      <c r="F410" s="18"/>
      <c r="G410" s="18"/>
      <c r="H410" s="18"/>
      <c r="I410" s="71"/>
      <c r="J410" s="71"/>
      <c r="K410" s="71"/>
      <c r="L410" s="71"/>
      <c r="M410" s="71"/>
      <c r="N410" s="71"/>
      <c r="O410" s="71"/>
      <c r="P410" s="46"/>
      <c r="Q410" s="46"/>
      <c r="R410" s="46"/>
      <c r="S410" s="46"/>
      <c r="T410" s="46"/>
      <c r="U410" s="50"/>
      <c r="V410" s="46"/>
    </row>
    <row r="411" spans="2:22" s="27" customFormat="1">
      <c r="B411" s="18"/>
      <c r="C411" s="18"/>
      <c r="D411" s="18"/>
      <c r="E411" s="18"/>
      <c r="F411" s="18"/>
      <c r="G411" s="18"/>
      <c r="H411" s="18"/>
      <c r="I411" s="71"/>
      <c r="J411" s="71"/>
      <c r="K411" s="71"/>
      <c r="L411" s="71"/>
      <c r="M411" s="71"/>
      <c r="N411" s="71"/>
      <c r="O411" s="71"/>
      <c r="P411" s="46"/>
      <c r="Q411" s="46"/>
      <c r="R411" s="46"/>
      <c r="S411" s="46"/>
      <c r="T411" s="46"/>
      <c r="U411" s="50"/>
      <c r="V411" s="46"/>
    </row>
    <row r="412" spans="2:22" s="27" customFormat="1">
      <c r="B412" s="18"/>
      <c r="C412" s="18"/>
      <c r="D412" s="18"/>
      <c r="E412" s="18"/>
      <c r="F412" s="18"/>
      <c r="G412" s="18"/>
      <c r="H412" s="18"/>
      <c r="I412" s="71"/>
      <c r="J412" s="71"/>
      <c r="K412" s="71"/>
      <c r="L412" s="71"/>
      <c r="M412" s="71"/>
      <c r="N412" s="71"/>
      <c r="O412" s="71"/>
      <c r="P412" s="46"/>
      <c r="Q412" s="46"/>
      <c r="R412" s="46"/>
      <c r="S412" s="46"/>
      <c r="T412" s="46"/>
      <c r="U412" s="50"/>
      <c r="V412" s="46"/>
    </row>
    <row r="413" spans="2:22" s="27" customFormat="1">
      <c r="B413" s="18"/>
      <c r="C413" s="18"/>
      <c r="D413" s="18"/>
      <c r="E413" s="18"/>
      <c r="F413" s="18"/>
      <c r="G413" s="18"/>
      <c r="H413" s="18"/>
      <c r="I413" s="71"/>
      <c r="J413" s="71"/>
      <c r="K413" s="71"/>
      <c r="L413" s="71"/>
      <c r="M413" s="71"/>
      <c r="N413" s="71"/>
      <c r="O413" s="71"/>
      <c r="P413" s="46"/>
      <c r="Q413" s="46"/>
      <c r="R413" s="46"/>
      <c r="S413" s="46"/>
      <c r="T413" s="46"/>
      <c r="U413" s="50"/>
      <c r="V413" s="46"/>
    </row>
    <row r="414" spans="2:22" s="27" customFormat="1">
      <c r="B414" s="18"/>
      <c r="C414" s="18"/>
      <c r="D414" s="18"/>
      <c r="E414" s="18"/>
      <c r="F414" s="18"/>
      <c r="G414" s="18"/>
      <c r="H414" s="18"/>
      <c r="I414" s="71"/>
      <c r="J414" s="71"/>
      <c r="K414" s="71"/>
      <c r="L414" s="71"/>
      <c r="M414" s="71"/>
      <c r="N414" s="71"/>
      <c r="O414" s="71"/>
      <c r="P414" s="46"/>
      <c r="Q414" s="46"/>
      <c r="R414" s="46"/>
      <c r="S414" s="46"/>
      <c r="T414" s="46"/>
      <c r="U414" s="50"/>
      <c r="V414" s="46"/>
    </row>
    <row r="415" spans="2:22" s="27" customFormat="1">
      <c r="B415" s="18"/>
      <c r="C415" s="18"/>
      <c r="D415" s="18"/>
      <c r="E415" s="18"/>
      <c r="F415" s="18"/>
      <c r="G415" s="18"/>
      <c r="H415" s="18"/>
      <c r="I415" s="71"/>
      <c r="J415" s="71"/>
      <c r="K415" s="71"/>
      <c r="L415" s="71"/>
      <c r="M415" s="71"/>
      <c r="N415" s="71"/>
      <c r="O415" s="71"/>
      <c r="P415" s="46"/>
      <c r="Q415" s="46"/>
      <c r="R415" s="46"/>
      <c r="S415" s="46"/>
      <c r="T415" s="46"/>
      <c r="U415" s="50"/>
      <c r="V415" s="46"/>
    </row>
    <row r="416" spans="2:22" s="27" customFormat="1">
      <c r="B416" s="18"/>
      <c r="C416" s="18"/>
      <c r="D416" s="18"/>
      <c r="E416" s="18"/>
      <c r="F416" s="18"/>
      <c r="G416" s="18"/>
      <c r="H416" s="18"/>
      <c r="I416" s="71"/>
      <c r="J416" s="71"/>
      <c r="K416" s="71"/>
      <c r="L416" s="71"/>
      <c r="M416" s="71"/>
      <c r="N416" s="71"/>
      <c r="O416" s="71"/>
      <c r="P416" s="46"/>
      <c r="Q416" s="46"/>
      <c r="R416" s="46"/>
      <c r="S416" s="46"/>
      <c r="T416" s="46"/>
      <c r="U416" s="50"/>
      <c r="V416" s="46"/>
    </row>
    <row r="417" spans="2:22" s="27" customFormat="1">
      <c r="B417" s="18"/>
      <c r="C417" s="18"/>
      <c r="D417" s="18"/>
      <c r="E417" s="18"/>
      <c r="F417" s="18"/>
      <c r="G417" s="18"/>
      <c r="H417" s="18"/>
      <c r="I417" s="71"/>
      <c r="J417" s="71"/>
      <c r="K417" s="71"/>
      <c r="L417" s="71"/>
      <c r="M417" s="71"/>
      <c r="N417" s="71"/>
      <c r="O417" s="71"/>
      <c r="P417" s="46"/>
      <c r="Q417" s="46"/>
      <c r="R417" s="46"/>
      <c r="S417" s="46"/>
      <c r="T417" s="46"/>
      <c r="U417" s="50"/>
      <c r="V417" s="46"/>
    </row>
    <row r="418" spans="2:22" s="27" customFormat="1">
      <c r="B418" s="18"/>
      <c r="C418" s="18"/>
      <c r="D418" s="18"/>
      <c r="E418" s="18"/>
      <c r="F418" s="18"/>
      <c r="G418" s="18"/>
      <c r="H418" s="18"/>
      <c r="I418" s="71"/>
      <c r="J418" s="71"/>
      <c r="K418" s="71"/>
      <c r="L418" s="71"/>
      <c r="M418" s="71"/>
      <c r="N418" s="71"/>
      <c r="O418" s="71"/>
      <c r="P418" s="46"/>
      <c r="Q418" s="46"/>
      <c r="R418" s="46"/>
      <c r="S418" s="46"/>
      <c r="T418" s="46"/>
      <c r="U418" s="50"/>
      <c r="V418" s="46"/>
    </row>
    <row r="419" spans="2:22" s="27" customFormat="1">
      <c r="B419" s="18"/>
      <c r="C419" s="18"/>
      <c r="D419" s="18"/>
      <c r="E419" s="18"/>
      <c r="F419" s="18"/>
      <c r="G419" s="18"/>
      <c r="H419" s="18"/>
      <c r="I419" s="71"/>
      <c r="J419" s="71"/>
      <c r="K419" s="71"/>
      <c r="L419" s="71"/>
      <c r="M419" s="71"/>
      <c r="N419" s="71"/>
      <c r="O419" s="71"/>
      <c r="P419" s="46"/>
      <c r="Q419" s="46"/>
      <c r="R419" s="46"/>
      <c r="S419" s="46"/>
      <c r="T419" s="46"/>
      <c r="U419" s="50"/>
      <c r="V419" s="46"/>
    </row>
    <row r="420" spans="2:22" s="27" customFormat="1">
      <c r="B420" s="18"/>
      <c r="C420" s="18"/>
      <c r="D420" s="18"/>
      <c r="E420" s="18"/>
      <c r="F420" s="18"/>
      <c r="G420" s="18"/>
      <c r="H420" s="18"/>
      <c r="I420" s="71"/>
      <c r="J420" s="71"/>
      <c r="K420" s="71"/>
      <c r="L420" s="71"/>
      <c r="M420" s="71"/>
      <c r="N420" s="71"/>
      <c r="O420" s="71"/>
      <c r="P420" s="46"/>
      <c r="Q420" s="46"/>
      <c r="R420" s="46"/>
      <c r="S420" s="46"/>
      <c r="T420" s="46"/>
      <c r="U420" s="50"/>
      <c r="V420" s="46"/>
    </row>
    <row r="421" spans="2:22" s="27" customFormat="1">
      <c r="B421" s="18"/>
      <c r="C421" s="18"/>
      <c r="D421" s="18"/>
      <c r="E421" s="18"/>
      <c r="F421" s="18"/>
      <c r="G421" s="18"/>
      <c r="H421" s="18"/>
      <c r="I421" s="71"/>
      <c r="J421" s="71"/>
      <c r="K421" s="71"/>
      <c r="L421" s="71"/>
      <c r="M421" s="71"/>
      <c r="N421" s="71"/>
      <c r="O421" s="71"/>
      <c r="P421" s="46"/>
      <c r="Q421" s="46"/>
      <c r="R421" s="46"/>
      <c r="S421" s="46"/>
      <c r="T421" s="46"/>
      <c r="U421" s="50"/>
      <c r="V421" s="46"/>
    </row>
    <row r="422" spans="2:22" s="27" customFormat="1">
      <c r="B422" s="18"/>
      <c r="C422" s="18"/>
      <c r="D422" s="18"/>
      <c r="E422" s="18"/>
      <c r="F422" s="18"/>
      <c r="G422" s="18"/>
      <c r="H422" s="18"/>
      <c r="I422" s="71"/>
      <c r="J422" s="71"/>
      <c r="K422" s="71"/>
      <c r="L422" s="71"/>
      <c r="M422" s="71"/>
      <c r="N422" s="71"/>
      <c r="O422" s="71"/>
      <c r="P422" s="46"/>
      <c r="Q422" s="46"/>
      <c r="R422" s="46"/>
      <c r="S422" s="46"/>
      <c r="T422" s="46"/>
      <c r="U422" s="50"/>
      <c r="V422" s="46"/>
    </row>
    <row r="423" spans="2:22" s="27" customFormat="1">
      <c r="B423" s="18"/>
      <c r="C423" s="18"/>
      <c r="D423" s="18"/>
      <c r="E423" s="18"/>
      <c r="F423" s="18"/>
      <c r="G423" s="18"/>
      <c r="H423" s="18"/>
      <c r="I423" s="71"/>
      <c r="J423" s="71"/>
      <c r="K423" s="71"/>
      <c r="L423" s="71"/>
      <c r="M423" s="71"/>
      <c r="N423" s="71"/>
      <c r="O423" s="71"/>
      <c r="P423" s="46"/>
      <c r="Q423" s="46"/>
      <c r="R423" s="46"/>
      <c r="S423" s="46"/>
      <c r="T423" s="46"/>
      <c r="U423" s="50"/>
      <c r="V423" s="46"/>
    </row>
    <row r="424" spans="2:22" s="27" customFormat="1">
      <c r="B424" s="18"/>
      <c r="C424" s="18"/>
      <c r="D424" s="18"/>
      <c r="E424" s="18"/>
      <c r="F424" s="18"/>
      <c r="G424" s="18"/>
      <c r="H424" s="18"/>
      <c r="I424" s="71"/>
      <c r="J424" s="71"/>
      <c r="K424" s="71"/>
      <c r="L424" s="71"/>
      <c r="M424" s="71"/>
      <c r="N424" s="71"/>
      <c r="O424" s="71"/>
      <c r="P424" s="46"/>
      <c r="Q424" s="46"/>
      <c r="R424" s="46"/>
      <c r="S424" s="46"/>
      <c r="T424" s="46"/>
      <c r="U424" s="50"/>
      <c r="V424" s="46"/>
    </row>
    <row r="425" spans="2:22" s="27" customFormat="1">
      <c r="B425" s="18"/>
      <c r="C425" s="18"/>
      <c r="D425" s="18"/>
      <c r="E425" s="18"/>
      <c r="F425" s="18"/>
      <c r="G425" s="18"/>
      <c r="H425" s="18"/>
      <c r="I425" s="71"/>
      <c r="J425" s="71"/>
      <c r="K425" s="71"/>
      <c r="L425" s="71"/>
      <c r="M425" s="71"/>
      <c r="N425" s="71"/>
      <c r="O425" s="71"/>
      <c r="P425" s="46"/>
      <c r="Q425" s="46"/>
      <c r="R425" s="46"/>
      <c r="S425" s="46"/>
      <c r="T425" s="46"/>
      <c r="U425" s="50"/>
      <c r="V425" s="46"/>
    </row>
    <row r="426" spans="2:22" s="27" customFormat="1">
      <c r="B426" s="18"/>
      <c r="C426" s="18"/>
      <c r="D426" s="18"/>
      <c r="E426" s="18"/>
      <c r="F426" s="18"/>
      <c r="G426" s="18"/>
      <c r="H426" s="18"/>
      <c r="I426" s="71"/>
      <c r="J426" s="71"/>
      <c r="K426" s="71"/>
      <c r="L426" s="71"/>
      <c r="M426" s="71"/>
      <c r="N426" s="71"/>
      <c r="O426" s="71"/>
      <c r="P426" s="46"/>
      <c r="Q426" s="46"/>
      <c r="R426" s="46"/>
      <c r="S426" s="46"/>
      <c r="T426" s="46"/>
      <c r="U426" s="50"/>
      <c r="V426" s="46"/>
    </row>
    <row r="427" spans="2:22" s="27" customFormat="1">
      <c r="B427" s="18"/>
      <c r="C427" s="18"/>
      <c r="D427" s="18"/>
      <c r="E427" s="18"/>
      <c r="F427" s="18"/>
      <c r="G427" s="18"/>
      <c r="H427" s="18"/>
      <c r="I427" s="71"/>
      <c r="J427" s="71"/>
      <c r="K427" s="71"/>
      <c r="L427" s="71"/>
      <c r="M427" s="71"/>
      <c r="N427" s="71"/>
      <c r="O427" s="71"/>
      <c r="P427" s="46"/>
      <c r="Q427" s="46"/>
      <c r="R427" s="46"/>
      <c r="S427" s="46"/>
      <c r="T427" s="46"/>
      <c r="U427" s="50"/>
      <c r="V427" s="46"/>
    </row>
    <row r="428" spans="2:22" s="27" customFormat="1">
      <c r="B428" s="18"/>
      <c r="C428" s="18"/>
      <c r="D428" s="18"/>
      <c r="E428" s="18"/>
      <c r="F428" s="18"/>
      <c r="G428" s="18"/>
      <c r="H428" s="18"/>
      <c r="I428" s="71"/>
      <c r="J428" s="71"/>
      <c r="K428" s="71"/>
      <c r="L428" s="71"/>
      <c r="M428" s="71"/>
      <c r="N428" s="71"/>
      <c r="O428" s="71"/>
      <c r="P428" s="46"/>
      <c r="Q428" s="46"/>
      <c r="R428" s="46"/>
      <c r="S428" s="46"/>
      <c r="T428" s="46"/>
      <c r="U428" s="50"/>
      <c r="V428" s="46"/>
    </row>
    <row r="429" spans="2:22" s="27" customFormat="1">
      <c r="B429" s="18"/>
      <c r="C429" s="18"/>
      <c r="D429" s="18"/>
      <c r="E429" s="18"/>
      <c r="F429" s="18"/>
      <c r="G429" s="18"/>
      <c r="H429" s="18"/>
      <c r="I429" s="71"/>
      <c r="J429" s="71"/>
      <c r="K429" s="71"/>
      <c r="L429" s="71"/>
      <c r="M429" s="71"/>
      <c r="N429" s="71"/>
      <c r="O429" s="71"/>
      <c r="P429" s="46"/>
      <c r="Q429" s="46"/>
      <c r="R429" s="46"/>
      <c r="S429" s="46"/>
      <c r="T429" s="46"/>
      <c r="U429" s="50"/>
      <c r="V429" s="46"/>
    </row>
    <row r="430" spans="2:22" s="27" customFormat="1">
      <c r="B430" s="18"/>
      <c r="C430" s="18"/>
      <c r="D430" s="18"/>
      <c r="E430" s="18"/>
      <c r="F430" s="18"/>
      <c r="G430" s="18"/>
      <c r="H430" s="18"/>
      <c r="I430" s="71"/>
      <c r="J430" s="71"/>
      <c r="K430" s="71"/>
      <c r="L430" s="71"/>
      <c r="M430" s="71"/>
      <c r="N430" s="71"/>
      <c r="O430" s="71"/>
      <c r="P430" s="46"/>
      <c r="Q430" s="46"/>
      <c r="R430" s="46"/>
      <c r="S430" s="46"/>
      <c r="T430" s="46"/>
      <c r="U430" s="50"/>
      <c r="V430" s="46"/>
    </row>
    <row r="431" spans="2:22" s="27" customFormat="1">
      <c r="B431" s="18"/>
      <c r="C431" s="18"/>
      <c r="D431" s="18"/>
      <c r="E431" s="18"/>
      <c r="F431" s="18"/>
      <c r="G431" s="18"/>
      <c r="H431" s="18"/>
      <c r="I431" s="71"/>
      <c r="J431" s="71"/>
      <c r="K431" s="71"/>
      <c r="L431" s="71"/>
      <c r="M431" s="71"/>
      <c r="N431" s="71"/>
      <c r="O431" s="71"/>
      <c r="P431" s="46"/>
      <c r="Q431" s="46"/>
      <c r="R431" s="46"/>
      <c r="S431" s="46"/>
      <c r="T431" s="46"/>
      <c r="U431" s="50"/>
      <c r="V431" s="46"/>
    </row>
    <row r="432" spans="2:22" s="27" customFormat="1">
      <c r="B432" s="18"/>
      <c r="C432" s="18"/>
      <c r="D432" s="18"/>
      <c r="E432" s="18"/>
      <c r="F432" s="18"/>
      <c r="G432" s="18"/>
      <c r="H432" s="18"/>
      <c r="I432" s="71"/>
      <c r="J432" s="71"/>
      <c r="K432" s="71"/>
      <c r="L432" s="71"/>
      <c r="M432" s="71"/>
      <c r="N432" s="71"/>
      <c r="O432" s="71"/>
      <c r="P432" s="46"/>
      <c r="Q432" s="46"/>
      <c r="R432" s="46"/>
      <c r="S432" s="46"/>
      <c r="T432" s="46"/>
      <c r="U432" s="50"/>
      <c r="V432" s="46"/>
    </row>
    <row r="433" spans="2:22" s="27" customFormat="1">
      <c r="B433" s="18"/>
      <c r="C433" s="18"/>
      <c r="D433" s="18"/>
      <c r="E433" s="18"/>
      <c r="F433" s="18"/>
      <c r="G433" s="18"/>
      <c r="H433" s="18"/>
      <c r="I433" s="71"/>
      <c r="J433" s="71"/>
      <c r="K433" s="71"/>
      <c r="L433" s="71"/>
      <c r="M433" s="71"/>
      <c r="N433" s="71"/>
      <c r="O433" s="71"/>
      <c r="P433" s="46"/>
      <c r="Q433" s="46"/>
      <c r="R433" s="46"/>
      <c r="S433" s="46"/>
      <c r="T433" s="46"/>
      <c r="U433" s="50"/>
      <c r="V433" s="46"/>
    </row>
    <row r="434" spans="2:22" s="27" customFormat="1">
      <c r="B434" s="18"/>
      <c r="C434" s="18"/>
      <c r="D434" s="18"/>
      <c r="E434" s="18"/>
      <c r="F434" s="18"/>
      <c r="G434" s="18"/>
      <c r="H434" s="18"/>
      <c r="I434" s="71"/>
      <c r="J434" s="71"/>
      <c r="K434" s="71"/>
      <c r="L434" s="71"/>
      <c r="M434" s="71"/>
      <c r="N434" s="71"/>
      <c r="O434" s="71"/>
      <c r="P434" s="46"/>
      <c r="Q434" s="46"/>
      <c r="R434" s="46"/>
      <c r="S434" s="46"/>
      <c r="T434" s="46"/>
      <c r="U434" s="50"/>
      <c r="V434" s="46"/>
    </row>
    <row r="435" spans="2:22" s="27" customFormat="1">
      <c r="B435" s="18"/>
      <c r="C435" s="18"/>
      <c r="D435" s="18"/>
      <c r="E435" s="18"/>
      <c r="F435" s="18"/>
      <c r="G435" s="18"/>
      <c r="H435" s="18"/>
      <c r="I435" s="71"/>
      <c r="J435" s="71"/>
      <c r="K435" s="71"/>
      <c r="L435" s="71"/>
      <c r="M435" s="71"/>
      <c r="N435" s="71"/>
      <c r="O435" s="71"/>
      <c r="P435" s="46"/>
      <c r="Q435" s="46"/>
      <c r="R435" s="46"/>
      <c r="S435" s="46"/>
      <c r="T435" s="46"/>
      <c r="U435" s="50"/>
      <c r="V435" s="46"/>
    </row>
    <row r="436" spans="2:22" s="27" customFormat="1">
      <c r="B436" s="18"/>
      <c r="C436" s="18"/>
      <c r="D436" s="18"/>
      <c r="E436" s="18"/>
      <c r="F436" s="18"/>
      <c r="G436" s="18"/>
      <c r="H436" s="18"/>
      <c r="I436" s="71"/>
      <c r="J436" s="71"/>
      <c r="K436" s="71"/>
      <c r="L436" s="71"/>
      <c r="M436" s="71"/>
      <c r="N436" s="71"/>
      <c r="O436" s="71"/>
      <c r="P436" s="46"/>
      <c r="Q436" s="46"/>
      <c r="R436" s="46"/>
      <c r="S436" s="46"/>
      <c r="T436" s="46"/>
      <c r="U436" s="50"/>
      <c r="V436" s="46"/>
    </row>
    <row r="437" spans="2:22" s="27" customFormat="1">
      <c r="B437" s="18"/>
      <c r="C437" s="18"/>
      <c r="D437" s="18"/>
      <c r="E437" s="18"/>
      <c r="F437" s="18"/>
      <c r="G437" s="18"/>
      <c r="H437" s="18"/>
      <c r="I437" s="71"/>
      <c r="J437" s="71"/>
      <c r="K437" s="71"/>
      <c r="L437" s="71"/>
      <c r="M437" s="71"/>
      <c r="N437" s="71"/>
      <c r="O437" s="71"/>
      <c r="P437" s="46"/>
      <c r="Q437" s="46"/>
      <c r="R437" s="46"/>
      <c r="S437" s="46"/>
      <c r="T437" s="46"/>
      <c r="U437" s="50"/>
      <c r="V437" s="46"/>
    </row>
    <row r="438" spans="2:22" s="27" customFormat="1">
      <c r="B438" s="18"/>
      <c r="C438" s="18"/>
      <c r="D438" s="18"/>
      <c r="E438" s="18"/>
      <c r="F438" s="18"/>
      <c r="G438" s="18"/>
      <c r="H438" s="18"/>
      <c r="I438" s="71"/>
      <c r="J438" s="71"/>
      <c r="K438" s="71"/>
      <c r="L438" s="71"/>
      <c r="M438" s="71"/>
      <c r="N438" s="71"/>
      <c r="O438" s="71"/>
      <c r="P438" s="46"/>
      <c r="Q438" s="46"/>
      <c r="R438" s="46"/>
      <c r="S438" s="46"/>
      <c r="T438" s="46"/>
      <c r="U438" s="50"/>
      <c r="V438" s="46"/>
    </row>
    <row r="439" spans="2:22" s="27" customFormat="1">
      <c r="B439" s="18"/>
      <c r="C439" s="18"/>
      <c r="D439" s="18"/>
      <c r="E439" s="18"/>
      <c r="F439" s="18"/>
      <c r="G439" s="18"/>
      <c r="H439" s="18"/>
      <c r="I439" s="71"/>
      <c r="J439" s="71"/>
      <c r="K439" s="71"/>
      <c r="L439" s="71"/>
      <c r="M439" s="71"/>
      <c r="N439" s="71"/>
      <c r="O439" s="71"/>
      <c r="P439" s="46"/>
      <c r="Q439" s="46"/>
      <c r="R439" s="46"/>
      <c r="S439" s="46"/>
      <c r="T439" s="46"/>
      <c r="U439" s="50"/>
      <c r="V439" s="46"/>
    </row>
    <row r="440" spans="2:22" s="27" customFormat="1">
      <c r="B440" s="18"/>
      <c r="C440" s="18"/>
      <c r="D440" s="18"/>
      <c r="E440" s="18"/>
      <c r="F440" s="18"/>
      <c r="G440" s="18"/>
      <c r="H440" s="18"/>
      <c r="I440" s="71"/>
      <c r="J440" s="71"/>
      <c r="K440" s="71"/>
      <c r="L440" s="71"/>
      <c r="M440" s="71"/>
      <c r="N440" s="71"/>
      <c r="O440" s="71"/>
      <c r="P440" s="46"/>
      <c r="Q440" s="46"/>
      <c r="R440" s="46"/>
      <c r="S440" s="46"/>
      <c r="T440" s="46"/>
      <c r="U440" s="50"/>
      <c r="V440" s="46"/>
    </row>
    <row r="441" spans="2:22" s="27" customFormat="1">
      <c r="B441" s="18"/>
      <c r="C441" s="18"/>
      <c r="D441" s="18"/>
      <c r="E441" s="18"/>
      <c r="F441" s="18"/>
      <c r="G441" s="18"/>
      <c r="H441" s="18"/>
      <c r="I441" s="71"/>
      <c r="J441" s="71"/>
      <c r="K441" s="71"/>
      <c r="L441" s="71"/>
      <c r="M441" s="71"/>
      <c r="N441" s="71"/>
      <c r="O441" s="71"/>
      <c r="P441" s="46"/>
      <c r="Q441" s="46"/>
      <c r="R441" s="46"/>
      <c r="S441" s="46"/>
      <c r="T441" s="46"/>
      <c r="U441" s="50"/>
      <c r="V441" s="46"/>
    </row>
    <row r="442" spans="2:22" s="27" customFormat="1">
      <c r="B442" s="18"/>
      <c r="C442" s="18"/>
      <c r="D442" s="18"/>
      <c r="E442" s="18"/>
      <c r="F442" s="18"/>
      <c r="G442" s="18"/>
      <c r="H442" s="18"/>
      <c r="I442" s="71"/>
      <c r="J442" s="71"/>
      <c r="K442" s="71"/>
      <c r="L442" s="71"/>
      <c r="M442" s="71"/>
      <c r="N442" s="71"/>
      <c r="O442" s="71"/>
      <c r="P442" s="46"/>
      <c r="Q442" s="46"/>
      <c r="R442" s="46"/>
      <c r="S442" s="46"/>
      <c r="T442" s="46"/>
      <c r="U442" s="50"/>
      <c r="V442" s="46"/>
    </row>
    <row r="443" spans="2:22" s="27" customFormat="1">
      <c r="B443" s="18"/>
      <c r="C443" s="18"/>
      <c r="D443" s="18"/>
      <c r="E443" s="18"/>
      <c r="F443" s="18"/>
      <c r="G443" s="18"/>
      <c r="H443" s="18"/>
      <c r="I443" s="71"/>
      <c r="J443" s="71"/>
      <c r="K443" s="71"/>
      <c r="L443" s="71"/>
      <c r="M443" s="71"/>
      <c r="N443" s="71"/>
      <c r="O443" s="71"/>
      <c r="P443" s="46"/>
      <c r="Q443" s="46"/>
      <c r="R443" s="46"/>
      <c r="S443" s="46"/>
      <c r="T443" s="46"/>
      <c r="U443" s="50"/>
      <c r="V443" s="46"/>
    </row>
    <row r="444" spans="2:22" s="27" customFormat="1">
      <c r="B444" s="18"/>
      <c r="C444" s="18"/>
      <c r="D444" s="18"/>
      <c r="E444" s="18"/>
      <c r="F444" s="18"/>
      <c r="G444" s="18"/>
      <c r="H444" s="18"/>
      <c r="I444" s="71"/>
      <c r="J444" s="71"/>
      <c r="K444" s="71"/>
      <c r="L444" s="71"/>
      <c r="M444" s="71"/>
      <c r="N444" s="71"/>
      <c r="O444" s="71"/>
      <c r="P444" s="46"/>
      <c r="Q444" s="46"/>
      <c r="R444" s="46"/>
      <c r="S444" s="46"/>
      <c r="T444" s="46"/>
      <c r="U444" s="50"/>
      <c r="V444" s="46"/>
    </row>
    <row r="445" spans="2:22" s="27" customFormat="1">
      <c r="B445" s="18"/>
      <c r="C445" s="18"/>
      <c r="D445" s="18"/>
      <c r="E445" s="18"/>
      <c r="F445" s="18"/>
      <c r="G445" s="18"/>
      <c r="H445" s="18"/>
      <c r="I445" s="71"/>
      <c r="J445" s="71"/>
      <c r="K445" s="71"/>
      <c r="L445" s="71"/>
      <c r="M445" s="71"/>
      <c r="N445" s="71"/>
      <c r="O445" s="71"/>
      <c r="P445" s="46"/>
      <c r="Q445" s="46"/>
      <c r="R445" s="46"/>
      <c r="S445" s="46"/>
      <c r="T445" s="46"/>
      <c r="U445" s="50"/>
      <c r="V445" s="46"/>
    </row>
    <row r="446" spans="2:22" s="27" customFormat="1">
      <c r="B446" s="18"/>
      <c r="C446" s="18"/>
      <c r="D446" s="18"/>
      <c r="E446" s="18"/>
      <c r="F446" s="18"/>
      <c r="G446" s="18"/>
      <c r="H446" s="18"/>
      <c r="I446" s="71"/>
      <c r="J446" s="71"/>
      <c r="K446" s="71"/>
      <c r="L446" s="71"/>
      <c r="M446" s="71"/>
      <c r="N446" s="71"/>
      <c r="O446" s="71"/>
      <c r="P446" s="46"/>
      <c r="Q446" s="46"/>
      <c r="R446" s="46"/>
      <c r="S446" s="46"/>
      <c r="T446" s="46"/>
      <c r="U446" s="50"/>
      <c r="V446" s="46"/>
    </row>
    <row r="447" spans="2:22" s="27" customFormat="1">
      <c r="B447" s="18"/>
      <c r="C447" s="18"/>
      <c r="D447" s="18"/>
      <c r="E447" s="18"/>
      <c r="F447" s="18"/>
      <c r="G447" s="18"/>
      <c r="H447" s="18"/>
      <c r="I447" s="71"/>
      <c r="J447" s="71"/>
      <c r="K447" s="71"/>
      <c r="L447" s="71"/>
      <c r="M447" s="71"/>
      <c r="N447" s="71"/>
      <c r="O447" s="71"/>
      <c r="P447" s="46"/>
      <c r="Q447" s="46"/>
      <c r="R447" s="46"/>
      <c r="S447" s="46"/>
      <c r="T447" s="46"/>
      <c r="U447" s="50"/>
      <c r="V447" s="46"/>
    </row>
    <row r="448" spans="2:22" s="27" customFormat="1">
      <c r="B448" s="18"/>
      <c r="C448" s="18"/>
      <c r="D448" s="18"/>
      <c r="E448" s="18"/>
      <c r="F448" s="18"/>
      <c r="G448" s="18"/>
      <c r="H448" s="18"/>
      <c r="I448" s="71"/>
      <c r="J448" s="71"/>
      <c r="K448" s="71"/>
      <c r="L448" s="71"/>
      <c r="M448" s="71"/>
      <c r="N448" s="71"/>
      <c r="O448" s="71"/>
      <c r="P448" s="46"/>
      <c r="Q448" s="46"/>
      <c r="R448" s="46"/>
      <c r="S448" s="46"/>
      <c r="T448" s="46"/>
      <c r="U448" s="50"/>
      <c r="V448" s="46"/>
    </row>
    <row r="449" spans="2:22" s="27" customFormat="1">
      <c r="B449" s="18"/>
      <c r="C449" s="18"/>
      <c r="D449" s="18"/>
      <c r="E449" s="18"/>
      <c r="F449" s="18"/>
      <c r="G449" s="18"/>
      <c r="H449" s="18"/>
      <c r="I449" s="71"/>
      <c r="J449" s="71"/>
      <c r="K449" s="71"/>
      <c r="L449" s="71"/>
      <c r="M449" s="71"/>
      <c r="N449" s="71"/>
      <c r="O449" s="71"/>
      <c r="P449" s="46"/>
      <c r="Q449" s="46"/>
      <c r="R449" s="46"/>
      <c r="S449" s="46"/>
      <c r="T449" s="46"/>
      <c r="U449" s="50"/>
      <c r="V449" s="46"/>
    </row>
    <row r="450" spans="2:22" s="27" customFormat="1">
      <c r="B450" s="18"/>
      <c r="C450" s="18"/>
      <c r="D450" s="18"/>
      <c r="E450" s="18"/>
      <c r="F450" s="18"/>
      <c r="G450" s="18"/>
      <c r="H450" s="18"/>
      <c r="I450" s="71"/>
      <c r="J450" s="71"/>
      <c r="K450" s="71"/>
      <c r="L450" s="71"/>
      <c r="M450" s="71"/>
      <c r="N450" s="71"/>
      <c r="O450" s="71"/>
      <c r="P450" s="46"/>
      <c r="Q450" s="46"/>
      <c r="R450" s="46"/>
      <c r="S450" s="46"/>
      <c r="T450" s="46"/>
      <c r="U450" s="50"/>
      <c r="V450" s="46"/>
    </row>
    <row r="451" spans="2:22" s="27" customFormat="1">
      <c r="B451" s="18"/>
      <c r="C451" s="18"/>
      <c r="D451" s="18"/>
      <c r="E451" s="18"/>
      <c r="F451" s="18"/>
      <c r="G451" s="18"/>
      <c r="H451" s="18"/>
      <c r="I451" s="71"/>
      <c r="J451" s="71"/>
      <c r="K451" s="71"/>
      <c r="L451" s="71"/>
      <c r="M451" s="71"/>
      <c r="N451" s="71"/>
      <c r="O451" s="71"/>
      <c r="P451" s="46"/>
      <c r="Q451" s="46"/>
      <c r="R451" s="46"/>
      <c r="S451" s="46"/>
      <c r="T451" s="46"/>
      <c r="U451" s="50"/>
      <c r="V451" s="46"/>
    </row>
    <row r="452" spans="2:22" s="27" customFormat="1">
      <c r="B452" s="18"/>
      <c r="C452" s="18"/>
      <c r="D452" s="18"/>
      <c r="E452" s="18"/>
      <c r="F452" s="18"/>
      <c r="G452" s="18"/>
      <c r="H452" s="18"/>
      <c r="I452" s="71"/>
      <c r="J452" s="71"/>
      <c r="K452" s="71"/>
      <c r="L452" s="71"/>
      <c r="M452" s="71"/>
      <c r="N452" s="71"/>
      <c r="O452" s="71"/>
      <c r="P452" s="46"/>
      <c r="Q452" s="46"/>
      <c r="R452" s="46"/>
      <c r="S452" s="46"/>
      <c r="T452" s="46"/>
      <c r="U452" s="50"/>
      <c r="V452" s="46"/>
    </row>
    <row r="453" spans="2:22" s="27" customFormat="1">
      <c r="B453" s="18"/>
      <c r="C453" s="18"/>
      <c r="D453" s="18"/>
      <c r="E453" s="18"/>
      <c r="F453" s="18"/>
      <c r="G453" s="18"/>
      <c r="H453" s="18"/>
      <c r="I453" s="71"/>
      <c r="J453" s="71"/>
      <c r="K453" s="71"/>
      <c r="L453" s="71"/>
      <c r="M453" s="71"/>
      <c r="N453" s="71"/>
      <c r="O453" s="71"/>
      <c r="P453" s="46"/>
      <c r="Q453" s="46"/>
      <c r="R453" s="46"/>
      <c r="S453" s="46"/>
      <c r="T453" s="46"/>
      <c r="U453" s="50"/>
      <c r="V453" s="46"/>
    </row>
    <row r="454" spans="2:22" s="27" customFormat="1">
      <c r="B454" s="18"/>
      <c r="C454" s="18"/>
      <c r="D454" s="18"/>
      <c r="E454" s="18"/>
      <c r="F454" s="18"/>
      <c r="G454" s="18"/>
      <c r="H454" s="18"/>
      <c r="I454" s="71"/>
      <c r="J454" s="71"/>
      <c r="K454" s="71"/>
      <c r="L454" s="71"/>
      <c r="M454" s="71"/>
      <c r="N454" s="71"/>
      <c r="O454" s="71"/>
      <c r="P454" s="46"/>
      <c r="Q454" s="46"/>
      <c r="R454" s="46"/>
      <c r="S454" s="46"/>
      <c r="T454" s="46"/>
      <c r="U454" s="50"/>
      <c r="V454" s="46"/>
    </row>
    <row r="455" spans="2:22" s="27" customFormat="1">
      <c r="B455" s="18"/>
      <c r="C455" s="18"/>
      <c r="D455" s="18"/>
      <c r="E455" s="18"/>
      <c r="F455" s="18"/>
      <c r="G455" s="18"/>
      <c r="H455" s="18"/>
      <c r="I455" s="71"/>
      <c r="J455" s="71"/>
      <c r="K455" s="71"/>
      <c r="L455" s="71"/>
      <c r="M455" s="71"/>
      <c r="N455" s="71"/>
      <c r="O455" s="71"/>
      <c r="P455" s="46"/>
      <c r="Q455" s="46"/>
      <c r="R455" s="46"/>
      <c r="S455" s="46"/>
      <c r="T455" s="46"/>
      <c r="U455" s="50"/>
      <c r="V455" s="46"/>
    </row>
    <row r="456" spans="2:22" s="27" customFormat="1">
      <c r="B456" s="18"/>
      <c r="C456" s="18"/>
      <c r="D456" s="18"/>
      <c r="E456" s="18"/>
      <c r="F456" s="18"/>
      <c r="G456" s="18"/>
      <c r="H456" s="18"/>
      <c r="I456" s="71"/>
      <c r="J456" s="71"/>
      <c r="K456" s="71"/>
      <c r="L456" s="71"/>
      <c r="M456" s="71"/>
      <c r="N456" s="71"/>
      <c r="O456" s="71"/>
      <c r="P456" s="46"/>
      <c r="Q456" s="46"/>
      <c r="R456" s="46"/>
      <c r="S456" s="46"/>
      <c r="T456" s="46"/>
      <c r="U456" s="50"/>
      <c r="V456" s="46"/>
    </row>
    <row r="457" spans="2:22" s="27" customFormat="1">
      <c r="B457" s="18"/>
      <c r="C457" s="18"/>
      <c r="D457" s="18"/>
      <c r="E457" s="18"/>
      <c r="F457" s="18"/>
      <c r="G457" s="18"/>
      <c r="H457" s="18"/>
      <c r="I457" s="71"/>
      <c r="J457" s="71"/>
      <c r="K457" s="71"/>
      <c r="L457" s="71"/>
      <c r="M457" s="71"/>
      <c r="N457" s="71"/>
      <c r="O457" s="71"/>
      <c r="P457" s="46"/>
      <c r="Q457" s="46"/>
      <c r="R457" s="46"/>
      <c r="S457" s="46"/>
      <c r="T457" s="46"/>
      <c r="U457" s="50"/>
      <c r="V457" s="46"/>
    </row>
    <row r="458" spans="2:22" s="27" customFormat="1">
      <c r="B458" s="18"/>
      <c r="C458" s="18"/>
      <c r="D458" s="18"/>
      <c r="E458" s="18"/>
      <c r="F458" s="18"/>
      <c r="G458" s="18"/>
      <c r="H458" s="18"/>
      <c r="I458" s="71"/>
      <c r="J458" s="71"/>
      <c r="K458" s="71"/>
      <c r="L458" s="71"/>
      <c r="M458" s="71"/>
      <c r="N458" s="71"/>
      <c r="O458" s="71"/>
      <c r="P458" s="46"/>
      <c r="Q458" s="46"/>
      <c r="R458" s="46"/>
      <c r="S458" s="46"/>
      <c r="T458" s="46"/>
      <c r="U458" s="50"/>
      <c r="V458" s="46"/>
    </row>
    <row r="459" spans="2:22" s="27" customFormat="1">
      <c r="B459" s="18"/>
      <c r="C459" s="18"/>
      <c r="D459" s="18"/>
      <c r="E459" s="18"/>
      <c r="F459" s="18"/>
      <c r="G459" s="18"/>
      <c r="H459" s="18"/>
      <c r="I459" s="71"/>
      <c r="J459" s="71"/>
      <c r="K459" s="71"/>
      <c r="L459" s="71"/>
      <c r="M459" s="71"/>
      <c r="N459" s="71"/>
      <c r="O459" s="71"/>
      <c r="P459" s="46"/>
      <c r="Q459" s="46"/>
      <c r="R459" s="46"/>
      <c r="S459" s="46"/>
      <c r="T459" s="46"/>
      <c r="U459" s="50"/>
      <c r="V459" s="46"/>
    </row>
    <row r="460" spans="2:22" s="27" customFormat="1">
      <c r="B460" s="18"/>
      <c r="C460" s="18"/>
      <c r="D460" s="18"/>
      <c r="E460" s="18"/>
      <c r="F460" s="18"/>
      <c r="G460" s="18"/>
      <c r="H460" s="18"/>
      <c r="I460" s="71"/>
      <c r="J460" s="71"/>
      <c r="K460" s="71"/>
      <c r="L460" s="71"/>
      <c r="M460" s="71"/>
      <c r="N460" s="71"/>
      <c r="O460" s="71"/>
      <c r="P460" s="46"/>
      <c r="Q460" s="46"/>
      <c r="R460" s="46"/>
      <c r="S460" s="46"/>
      <c r="T460" s="46"/>
      <c r="U460" s="50"/>
      <c r="V460" s="46"/>
    </row>
    <row r="461" spans="2:22" s="27" customFormat="1">
      <c r="B461" s="18"/>
      <c r="C461" s="18"/>
      <c r="D461" s="18"/>
      <c r="E461" s="18"/>
      <c r="F461" s="18"/>
      <c r="G461" s="18"/>
      <c r="H461" s="18"/>
      <c r="I461" s="71"/>
      <c r="J461" s="71"/>
      <c r="K461" s="71"/>
      <c r="L461" s="71"/>
      <c r="M461" s="71"/>
      <c r="N461" s="71"/>
      <c r="O461" s="71"/>
      <c r="P461" s="46"/>
      <c r="Q461" s="46"/>
      <c r="R461" s="46"/>
      <c r="S461" s="46"/>
      <c r="T461" s="46"/>
      <c r="U461" s="50"/>
      <c r="V461" s="46"/>
    </row>
    <row r="462" spans="2:22" s="27" customFormat="1">
      <c r="B462" s="18"/>
      <c r="C462" s="18"/>
      <c r="D462" s="18"/>
      <c r="E462" s="18"/>
      <c r="F462" s="18"/>
      <c r="G462" s="18"/>
      <c r="H462" s="18"/>
      <c r="I462" s="71"/>
      <c r="J462" s="71"/>
      <c r="K462" s="71"/>
      <c r="L462" s="71"/>
      <c r="M462" s="71"/>
      <c r="N462" s="71"/>
      <c r="O462" s="71"/>
      <c r="P462" s="46"/>
      <c r="Q462" s="46"/>
      <c r="R462" s="46"/>
      <c r="S462" s="46"/>
      <c r="T462" s="46"/>
      <c r="U462" s="50"/>
      <c r="V462" s="46"/>
    </row>
    <row r="463" spans="2:22" s="27" customFormat="1">
      <c r="B463" s="18"/>
      <c r="C463" s="18"/>
      <c r="D463" s="18"/>
      <c r="E463" s="18"/>
      <c r="F463" s="18"/>
      <c r="G463" s="18"/>
      <c r="H463" s="18"/>
      <c r="I463" s="71"/>
      <c r="J463" s="71"/>
      <c r="K463" s="71"/>
      <c r="L463" s="71"/>
      <c r="M463" s="71"/>
      <c r="N463" s="71"/>
      <c r="O463" s="71"/>
      <c r="P463" s="46"/>
      <c r="Q463" s="46"/>
      <c r="R463" s="46"/>
      <c r="S463" s="46"/>
      <c r="T463" s="46"/>
      <c r="U463" s="50"/>
      <c r="V463" s="46"/>
    </row>
    <row r="464" spans="2:22" s="27" customFormat="1">
      <c r="B464" s="18"/>
      <c r="C464" s="18"/>
      <c r="D464" s="18"/>
      <c r="E464" s="18"/>
      <c r="F464" s="18"/>
      <c r="G464" s="18"/>
      <c r="H464" s="18"/>
      <c r="I464" s="71"/>
      <c r="J464" s="71"/>
      <c r="K464" s="71"/>
      <c r="L464" s="71"/>
      <c r="M464" s="71"/>
      <c r="N464" s="71"/>
      <c r="O464" s="71"/>
      <c r="P464" s="46"/>
      <c r="Q464" s="46"/>
      <c r="R464" s="46"/>
      <c r="S464" s="46"/>
      <c r="T464" s="46"/>
      <c r="U464" s="50"/>
      <c r="V464" s="46"/>
    </row>
    <row r="465" spans="2:22" s="27" customFormat="1">
      <c r="B465" s="18"/>
      <c r="C465" s="18"/>
      <c r="D465" s="18"/>
      <c r="E465" s="18"/>
      <c r="F465" s="18"/>
      <c r="G465" s="18"/>
      <c r="H465" s="18"/>
      <c r="I465" s="71"/>
      <c r="J465" s="71"/>
      <c r="K465" s="71"/>
      <c r="L465" s="71"/>
      <c r="M465" s="71"/>
      <c r="N465" s="71"/>
      <c r="O465" s="71"/>
      <c r="P465" s="46"/>
      <c r="Q465" s="46"/>
      <c r="R465" s="46"/>
      <c r="S465" s="46"/>
      <c r="T465" s="46"/>
      <c r="U465" s="50"/>
      <c r="V465" s="46"/>
    </row>
    <row r="466" spans="2:22" s="27" customFormat="1">
      <c r="B466" s="18"/>
      <c r="C466" s="18"/>
      <c r="D466" s="18"/>
      <c r="E466" s="18"/>
      <c r="F466" s="18"/>
      <c r="G466" s="18"/>
      <c r="H466" s="18"/>
      <c r="I466" s="71"/>
      <c r="J466" s="71"/>
      <c r="K466" s="71"/>
      <c r="L466" s="71"/>
      <c r="M466" s="71"/>
      <c r="N466" s="71"/>
      <c r="O466" s="71"/>
      <c r="P466" s="46"/>
      <c r="Q466" s="46"/>
      <c r="R466" s="46"/>
      <c r="S466" s="46"/>
      <c r="T466" s="46"/>
      <c r="U466" s="50"/>
      <c r="V466" s="46"/>
    </row>
    <row r="467" spans="2:22" s="27" customFormat="1">
      <c r="B467" s="18"/>
      <c r="C467" s="18"/>
      <c r="D467" s="18"/>
      <c r="E467" s="18"/>
      <c r="F467" s="18"/>
      <c r="G467" s="18"/>
      <c r="H467" s="18"/>
      <c r="I467" s="71"/>
      <c r="J467" s="71"/>
      <c r="K467" s="71"/>
      <c r="L467" s="71"/>
      <c r="M467" s="71"/>
      <c r="N467" s="71"/>
      <c r="O467" s="71"/>
      <c r="P467" s="46"/>
      <c r="Q467" s="46"/>
      <c r="R467" s="46"/>
      <c r="S467" s="46"/>
      <c r="T467" s="46"/>
      <c r="U467" s="50"/>
      <c r="V467" s="46"/>
    </row>
    <row r="468" spans="2:22" s="27" customFormat="1">
      <c r="B468" s="18"/>
      <c r="C468" s="18"/>
      <c r="D468" s="18"/>
      <c r="E468" s="18"/>
      <c r="F468" s="18"/>
      <c r="G468" s="18"/>
      <c r="H468" s="18"/>
      <c r="I468" s="71"/>
      <c r="J468" s="71"/>
      <c r="K468" s="71"/>
      <c r="L468" s="71"/>
      <c r="M468" s="71"/>
      <c r="N468" s="71"/>
      <c r="O468" s="71"/>
      <c r="P468" s="46"/>
      <c r="Q468" s="46"/>
      <c r="R468" s="46"/>
      <c r="S468" s="46"/>
      <c r="T468" s="46"/>
      <c r="U468" s="50"/>
      <c r="V468" s="46"/>
    </row>
    <row r="469" spans="2:22" s="27" customFormat="1">
      <c r="B469" s="18"/>
      <c r="C469" s="18"/>
      <c r="D469" s="18"/>
      <c r="E469" s="18"/>
      <c r="F469" s="18"/>
      <c r="G469" s="18"/>
      <c r="H469" s="18"/>
      <c r="I469" s="71"/>
      <c r="J469" s="71"/>
      <c r="K469" s="71"/>
      <c r="L469" s="71"/>
      <c r="M469" s="71"/>
      <c r="N469" s="71"/>
      <c r="O469" s="71"/>
      <c r="P469" s="46"/>
      <c r="Q469" s="46"/>
      <c r="R469" s="46"/>
      <c r="S469" s="46"/>
      <c r="T469" s="46"/>
      <c r="U469" s="50"/>
      <c r="V469" s="46"/>
    </row>
    <row r="470" spans="2:22" s="27" customFormat="1">
      <c r="B470" s="18"/>
      <c r="C470" s="18"/>
      <c r="D470" s="18"/>
      <c r="E470" s="18"/>
      <c r="F470" s="18"/>
      <c r="G470" s="18"/>
      <c r="H470" s="18"/>
      <c r="I470" s="71"/>
      <c r="J470" s="71"/>
      <c r="K470" s="71"/>
      <c r="L470" s="71"/>
      <c r="M470" s="71"/>
      <c r="N470" s="71"/>
      <c r="O470" s="71"/>
      <c r="P470" s="46"/>
      <c r="Q470" s="46"/>
      <c r="R470" s="46"/>
      <c r="S470" s="46"/>
      <c r="T470" s="46"/>
      <c r="U470" s="50"/>
      <c r="V470" s="46"/>
    </row>
    <row r="471" spans="2:22" s="27" customFormat="1">
      <c r="B471" s="18"/>
      <c r="C471" s="18"/>
      <c r="D471" s="18"/>
      <c r="E471" s="18"/>
      <c r="F471" s="18"/>
      <c r="G471" s="18"/>
      <c r="H471" s="18"/>
      <c r="I471" s="71"/>
      <c r="J471" s="71"/>
      <c r="K471" s="71"/>
      <c r="L471" s="71"/>
      <c r="M471" s="71"/>
      <c r="N471" s="71"/>
      <c r="O471" s="71"/>
      <c r="P471" s="46"/>
      <c r="Q471" s="46"/>
      <c r="R471" s="46"/>
      <c r="S471" s="46"/>
      <c r="T471" s="46"/>
      <c r="U471" s="50"/>
      <c r="V471" s="46"/>
    </row>
    <row r="472" spans="2:22" s="27" customFormat="1">
      <c r="B472" s="18"/>
      <c r="C472" s="18"/>
      <c r="D472" s="18"/>
      <c r="E472" s="18"/>
      <c r="F472" s="18"/>
      <c r="G472" s="18"/>
      <c r="H472" s="18"/>
      <c r="I472" s="71"/>
      <c r="J472" s="71"/>
      <c r="K472" s="71"/>
      <c r="L472" s="71"/>
      <c r="M472" s="71"/>
      <c r="N472" s="71"/>
      <c r="O472" s="71"/>
      <c r="P472" s="46"/>
      <c r="Q472" s="46"/>
      <c r="R472" s="46"/>
      <c r="S472" s="46"/>
      <c r="T472" s="46"/>
      <c r="U472" s="50"/>
      <c r="V472" s="46"/>
    </row>
    <row r="473" spans="2:22" s="27" customFormat="1">
      <c r="B473" s="18"/>
      <c r="C473" s="18"/>
      <c r="D473" s="18"/>
      <c r="E473" s="18"/>
      <c r="F473" s="18"/>
      <c r="G473" s="18"/>
      <c r="H473" s="18"/>
      <c r="I473" s="71"/>
      <c r="J473" s="71"/>
      <c r="K473" s="71"/>
      <c r="L473" s="71"/>
      <c r="M473" s="71"/>
      <c r="N473" s="71"/>
      <c r="O473" s="71"/>
      <c r="P473" s="46"/>
      <c r="Q473" s="46"/>
      <c r="R473" s="46"/>
      <c r="S473" s="46"/>
      <c r="T473" s="46"/>
      <c r="U473" s="50"/>
      <c r="V473" s="46"/>
    </row>
    <row r="474" spans="2:22" s="27" customFormat="1">
      <c r="B474" s="18"/>
      <c r="C474" s="18"/>
      <c r="D474" s="18"/>
      <c r="E474" s="18"/>
      <c r="F474" s="18"/>
      <c r="G474" s="18"/>
      <c r="H474" s="18"/>
      <c r="I474" s="71"/>
      <c r="J474" s="71"/>
      <c r="K474" s="71"/>
      <c r="L474" s="71"/>
      <c r="M474" s="71"/>
      <c r="N474" s="71"/>
      <c r="O474" s="71"/>
      <c r="P474" s="46"/>
      <c r="Q474" s="46"/>
      <c r="R474" s="46"/>
      <c r="S474" s="46"/>
      <c r="T474" s="46"/>
      <c r="U474" s="50"/>
      <c r="V474" s="46"/>
    </row>
    <row r="475" spans="2:22" s="27" customFormat="1">
      <c r="B475" s="18"/>
      <c r="C475" s="18"/>
      <c r="D475" s="18"/>
      <c r="E475" s="18"/>
      <c r="F475" s="18"/>
      <c r="G475" s="18"/>
      <c r="H475" s="18"/>
      <c r="I475" s="71"/>
      <c r="J475" s="71"/>
      <c r="K475" s="71"/>
      <c r="L475" s="71"/>
      <c r="M475" s="71"/>
      <c r="N475" s="71"/>
      <c r="O475" s="71"/>
      <c r="P475" s="46"/>
      <c r="Q475" s="46"/>
      <c r="R475" s="46"/>
      <c r="S475" s="46"/>
      <c r="T475" s="46"/>
      <c r="U475" s="50"/>
      <c r="V475" s="46"/>
    </row>
    <row r="476" spans="2:22" s="27" customFormat="1">
      <c r="B476" s="18"/>
      <c r="C476" s="18"/>
      <c r="D476" s="18"/>
      <c r="E476" s="18"/>
      <c r="F476" s="18"/>
      <c r="G476" s="18"/>
      <c r="H476" s="18"/>
      <c r="I476" s="71"/>
      <c r="J476" s="71"/>
      <c r="K476" s="71"/>
      <c r="L476" s="71"/>
      <c r="M476" s="71"/>
      <c r="N476" s="71"/>
      <c r="O476" s="71"/>
      <c r="P476" s="46"/>
      <c r="Q476" s="46"/>
      <c r="R476" s="46"/>
      <c r="S476" s="46"/>
      <c r="T476" s="46"/>
      <c r="U476" s="50"/>
      <c r="V476" s="46"/>
    </row>
    <row r="477" spans="2:22" s="27" customFormat="1">
      <c r="B477" s="18"/>
      <c r="C477" s="18"/>
      <c r="D477" s="18"/>
      <c r="E477" s="18"/>
      <c r="F477" s="18"/>
      <c r="G477" s="18"/>
      <c r="H477" s="18"/>
      <c r="I477" s="71"/>
      <c r="J477" s="71"/>
      <c r="K477" s="71"/>
      <c r="L477" s="71"/>
      <c r="M477" s="71"/>
      <c r="N477" s="71"/>
      <c r="O477" s="71"/>
      <c r="P477" s="46"/>
      <c r="Q477" s="46"/>
      <c r="R477" s="46"/>
      <c r="S477" s="46"/>
      <c r="T477" s="46"/>
      <c r="U477" s="50"/>
      <c r="V477" s="46"/>
    </row>
    <row r="478" spans="2:22" s="27" customFormat="1">
      <c r="B478" s="18"/>
      <c r="C478" s="18"/>
      <c r="D478" s="18"/>
      <c r="E478" s="18"/>
      <c r="F478" s="18"/>
      <c r="G478" s="18"/>
      <c r="H478" s="18"/>
      <c r="I478" s="71"/>
      <c r="J478" s="71"/>
      <c r="K478" s="71"/>
      <c r="L478" s="71"/>
      <c r="M478" s="71"/>
      <c r="N478" s="71"/>
      <c r="O478" s="71"/>
      <c r="P478" s="46"/>
      <c r="Q478" s="46"/>
      <c r="R478" s="46"/>
      <c r="S478" s="46"/>
      <c r="T478" s="46"/>
      <c r="U478" s="50"/>
      <c r="V478" s="46"/>
    </row>
    <row r="479" spans="2:22" s="27" customFormat="1">
      <c r="B479" s="18"/>
      <c r="C479" s="18"/>
      <c r="D479" s="18"/>
      <c r="E479" s="18"/>
      <c r="F479" s="18"/>
      <c r="G479" s="18"/>
      <c r="H479" s="18"/>
      <c r="I479" s="71"/>
      <c r="J479" s="71"/>
      <c r="K479" s="71"/>
      <c r="L479" s="71"/>
      <c r="M479" s="71"/>
      <c r="N479" s="71"/>
      <c r="O479" s="71"/>
      <c r="P479" s="46"/>
      <c r="Q479" s="46"/>
      <c r="R479" s="46"/>
      <c r="S479" s="46"/>
      <c r="T479" s="46"/>
      <c r="U479" s="50"/>
      <c r="V479" s="46"/>
    </row>
    <row r="480" spans="2:22" s="27" customFormat="1">
      <c r="B480" s="18"/>
      <c r="C480" s="18"/>
      <c r="D480" s="18"/>
      <c r="E480" s="18"/>
      <c r="F480" s="18"/>
      <c r="G480" s="18"/>
      <c r="H480" s="18"/>
      <c r="I480" s="71"/>
      <c r="J480" s="71"/>
      <c r="K480" s="71"/>
      <c r="L480" s="71"/>
      <c r="M480" s="71"/>
      <c r="N480" s="71"/>
      <c r="O480" s="71"/>
      <c r="P480" s="46"/>
      <c r="Q480" s="46"/>
      <c r="R480" s="46"/>
      <c r="S480" s="46"/>
      <c r="T480" s="46"/>
      <c r="U480" s="50"/>
      <c r="V480" s="46"/>
    </row>
    <row r="481" spans="2:22" s="27" customFormat="1">
      <c r="B481" s="18"/>
      <c r="C481" s="18"/>
      <c r="D481" s="18"/>
      <c r="E481" s="18"/>
      <c r="F481" s="18"/>
      <c r="G481" s="18"/>
      <c r="H481" s="18"/>
      <c r="I481" s="71"/>
      <c r="J481" s="71"/>
      <c r="K481" s="71"/>
      <c r="L481" s="71"/>
      <c r="M481" s="71"/>
      <c r="N481" s="71"/>
      <c r="O481" s="71"/>
      <c r="P481" s="46"/>
      <c r="Q481" s="46"/>
      <c r="R481" s="46"/>
      <c r="S481" s="46"/>
      <c r="T481" s="46"/>
      <c r="U481" s="50"/>
      <c r="V481" s="46"/>
    </row>
    <row r="482" spans="2:22" s="27" customFormat="1">
      <c r="B482" s="18"/>
      <c r="C482" s="18"/>
      <c r="D482" s="18"/>
      <c r="E482" s="18"/>
      <c r="F482" s="18"/>
      <c r="G482" s="18"/>
      <c r="H482" s="18"/>
      <c r="I482" s="71"/>
      <c r="J482" s="71"/>
      <c r="K482" s="71"/>
      <c r="L482" s="71"/>
      <c r="M482" s="71"/>
      <c r="N482" s="71"/>
      <c r="O482" s="71"/>
      <c r="P482" s="46"/>
      <c r="Q482" s="46"/>
      <c r="R482" s="46"/>
      <c r="S482" s="46"/>
      <c r="T482" s="46"/>
      <c r="U482" s="50"/>
      <c r="V482" s="46"/>
    </row>
    <row r="483" spans="2:22" s="27" customFormat="1">
      <c r="B483" s="18"/>
      <c r="C483" s="18"/>
      <c r="D483" s="18"/>
      <c r="E483" s="18"/>
      <c r="F483" s="18"/>
      <c r="G483" s="18"/>
      <c r="H483" s="18"/>
      <c r="I483" s="71"/>
      <c r="J483" s="71"/>
      <c r="K483" s="71"/>
      <c r="L483" s="71"/>
      <c r="M483" s="71"/>
      <c r="N483" s="71"/>
      <c r="O483" s="71"/>
      <c r="P483" s="46"/>
      <c r="Q483" s="46"/>
      <c r="R483" s="46"/>
      <c r="S483" s="46"/>
      <c r="T483" s="46"/>
      <c r="U483" s="50"/>
      <c r="V483" s="46"/>
    </row>
    <row r="484" spans="2:22" s="27" customFormat="1">
      <c r="B484" s="18"/>
      <c r="C484" s="18"/>
      <c r="D484" s="18"/>
      <c r="E484" s="18"/>
      <c r="F484" s="18"/>
      <c r="G484" s="18"/>
      <c r="H484" s="18"/>
      <c r="I484" s="71"/>
      <c r="J484" s="71"/>
      <c r="K484" s="71"/>
      <c r="L484" s="71"/>
      <c r="M484" s="71"/>
      <c r="N484" s="71"/>
      <c r="O484" s="71"/>
      <c r="P484" s="46"/>
      <c r="Q484" s="46"/>
      <c r="R484" s="46"/>
      <c r="S484" s="46"/>
      <c r="T484" s="46"/>
      <c r="U484" s="50"/>
      <c r="V484" s="46"/>
    </row>
    <row r="485" spans="2:22" s="27" customFormat="1">
      <c r="B485" s="18"/>
      <c r="C485" s="18"/>
      <c r="D485" s="18"/>
      <c r="E485" s="18"/>
      <c r="F485" s="18"/>
      <c r="G485" s="18"/>
      <c r="H485" s="18"/>
      <c r="I485" s="71"/>
      <c r="J485" s="71"/>
      <c r="K485" s="71"/>
      <c r="L485" s="71"/>
      <c r="M485" s="71"/>
      <c r="N485" s="71"/>
      <c r="O485" s="71"/>
      <c r="P485" s="46"/>
      <c r="Q485" s="46"/>
      <c r="R485" s="46"/>
      <c r="S485" s="46"/>
      <c r="T485" s="46"/>
      <c r="U485" s="50"/>
      <c r="V485" s="46"/>
    </row>
    <row r="486" spans="2:22" s="27" customFormat="1">
      <c r="B486" s="18"/>
      <c r="C486" s="18"/>
      <c r="D486" s="18"/>
      <c r="E486" s="18"/>
      <c r="F486" s="18"/>
      <c r="G486" s="18"/>
      <c r="H486" s="18"/>
      <c r="I486" s="71"/>
      <c r="J486" s="71"/>
      <c r="K486" s="71"/>
      <c r="L486" s="71"/>
      <c r="M486" s="71"/>
      <c r="N486" s="71"/>
      <c r="O486" s="71"/>
      <c r="P486" s="46"/>
      <c r="Q486" s="46"/>
      <c r="R486" s="46"/>
      <c r="S486" s="46"/>
      <c r="T486" s="46"/>
      <c r="U486" s="50"/>
      <c r="V486" s="46"/>
    </row>
    <row r="487" spans="2:22" s="27" customFormat="1">
      <c r="B487" s="18"/>
      <c r="C487" s="18"/>
      <c r="D487" s="18"/>
      <c r="E487" s="18"/>
      <c r="F487" s="18"/>
      <c r="G487" s="18"/>
      <c r="H487" s="18"/>
      <c r="I487" s="71"/>
      <c r="J487" s="71"/>
      <c r="K487" s="71"/>
      <c r="L487" s="71"/>
      <c r="M487" s="71"/>
      <c r="N487" s="71"/>
      <c r="O487" s="71"/>
      <c r="P487" s="46"/>
      <c r="Q487" s="46"/>
      <c r="R487" s="46"/>
      <c r="S487" s="46"/>
      <c r="T487" s="46"/>
      <c r="U487" s="50"/>
      <c r="V487" s="46"/>
    </row>
    <row r="488" spans="2:22" s="27" customFormat="1">
      <c r="B488" s="18"/>
      <c r="C488" s="18"/>
      <c r="D488" s="18"/>
      <c r="E488" s="18"/>
      <c r="F488" s="18"/>
      <c r="G488" s="18"/>
      <c r="H488" s="18"/>
      <c r="I488" s="71"/>
      <c r="J488" s="71"/>
      <c r="K488" s="71"/>
      <c r="L488" s="71"/>
      <c r="M488" s="71"/>
      <c r="N488" s="71"/>
      <c r="O488" s="71"/>
      <c r="P488" s="46"/>
      <c r="Q488" s="46"/>
      <c r="R488" s="46"/>
      <c r="S488" s="46"/>
      <c r="T488" s="46"/>
      <c r="U488" s="50"/>
      <c r="V488" s="46"/>
    </row>
    <row r="489" spans="2:22" s="27" customFormat="1">
      <c r="B489" s="18"/>
      <c r="C489" s="18"/>
      <c r="D489" s="18"/>
      <c r="E489" s="18"/>
      <c r="F489" s="18"/>
      <c r="G489" s="18"/>
      <c r="H489" s="18"/>
      <c r="I489" s="71"/>
      <c r="J489" s="71"/>
      <c r="K489" s="71"/>
      <c r="L489" s="71"/>
      <c r="M489" s="71"/>
      <c r="N489" s="71"/>
      <c r="O489" s="71"/>
      <c r="P489" s="46"/>
      <c r="Q489" s="46"/>
      <c r="R489" s="46"/>
      <c r="S489" s="46"/>
      <c r="T489" s="46"/>
      <c r="U489" s="50"/>
      <c r="V489" s="46"/>
    </row>
    <row r="490" spans="2:22" s="27" customFormat="1">
      <c r="B490" s="18"/>
      <c r="C490" s="18"/>
      <c r="D490" s="18"/>
      <c r="E490" s="18"/>
      <c r="F490" s="18"/>
      <c r="G490" s="18"/>
      <c r="H490" s="18"/>
      <c r="I490" s="71"/>
      <c r="J490" s="71"/>
      <c r="K490" s="71"/>
      <c r="L490" s="71"/>
      <c r="M490" s="71"/>
      <c r="N490" s="71"/>
      <c r="O490" s="71"/>
      <c r="P490" s="46"/>
      <c r="Q490" s="46"/>
      <c r="R490" s="46"/>
      <c r="S490" s="46"/>
      <c r="T490" s="46"/>
      <c r="U490" s="50"/>
      <c r="V490" s="46"/>
    </row>
    <row r="491" spans="2:22" s="27" customFormat="1">
      <c r="B491" s="18"/>
      <c r="C491" s="18"/>
      <c r="D491" s="18"/>
      <c r="E491" s="18"/>
      <c r="F491" s="18"/>
      <c r="G491" s="18"/>
      <c r="H491" s="18"/>
      <c r="I491" s="71"/>
      <c r="J491" s="71"/>
      <c r="K491" s="71"/>
      <c r="L491" s="71"/>
      <c r="M491" s="71"/>
      <c r="N491" s="71"/>
      <c r="O491" s="71"/>
      <c r="P491" s="46"/>
      <c r="Q491" s="46"/>
      <c r="R491" s="46"/>
      <c r="S491" s="46"/>
      <c r="T491" s="46"/>
      <c r="U491" s="50"/>
      <c r="V491" s="46"/>
    </row>
    <row r="492" spans="2:22" s="27" customFormat="1">
      <c r="B492" s="18"/>
      <c r="C492" s="18"/>
      <c r="D492" s="18"/>
      <c r="E492" s="18"/>
      <c r="F492" s="18"/>
      <c r="G492" s="18"/>
      <c r="H492" s="18"/>
      <c r="I492" s="71"/>
      <c r="J492" s="71"/>
      <c r="K492" s="71"/>
      <c r="L492" s="71"/>
      <c r="M492" s="71"/>
      <c r="N492" s="71"/>
      <c r="O492" s="71"/>
      <c r="P492" s="46"/>
      <c r="Q492" s="46"/>
      <c r="R492" s="46"/>
      <c r="S492" s="46"/>
      <c r="T492" s="46"/>
      <c r="U492" s="50"/>
      <c r="V492" s="46"/>
    </row>
    <row r="493" spans="2:22" s="27" customFormat="1">
      <c r="B493" s="18"/>
      <c r="C493" s="18"/>
      <c r="D493" s="18"/>
      <c r="E493" s="18"/>
      <c r="F493" s="18"/>
      <c r="G493" s="18"/>
      <c r="H493" s="18"/>
      <c r="I493" s="71"/>
      <c r="J493" s="71"/>
      <c r="K493" s="71"/>
      <c r="L493" s="71"/>
      <c r="M493" s="71"/>
      <c r="N493" s="71"/>
      <c r="O493" s="71"/>
      <c r="P493" s="46"/>
      <c r="Q493" s="46"/>
      <c r="R493" s="46"/>
      <c r="S493" s="46"/>
      <c r="T493" s="46"/>
      <c r="U493" s="50"/>
      <c r="V493" s="46"/>
    </row>
    <row r="494" spans="2:22" s="27" customFormat="1">
      <c r="B494" s="18"/>
      <c r="C494" s="18"/>
      <c r="D494" s="18"/>
      <c r="E494" s="18"/>
      <c r="F494" s="18"/>
      <c r="G494" s="18"/>
      <c r="H494" s="18"/>
      <c r="I494" s="71"/>
      <c r="J494" s="71"/>
      <c r="K494" s="71"/>
      <c r="L494" s="71"/>
      <c r="M494" s="71"/>
      <c r="N494" s="71"/>
      <c r="O494" s="71"/>
      <c r="P494" s="46"/>
      <c r="Q494" s="46"/>
      <c r="R494" s="46"/>
      <c r="S494" s="46"/>
      <c r="T494" s="46"/>
      <c r="U494" s="50"/>
      <c r="V494" s="46"/>
    </row>
    <row r="495" spans="2:22" s="27" customFormat="1">
      <c r="B495" s="18"/>
      <c r="C495" s="18"/>
      <c r="D495" s="18"/>
      <c r="E495" s="18"/>
      <c r="F495" s="18"/>
      <c r="G495" s="18"/>
      <c r="H495" s="18"/>
      <c r="I495" s="71"/>
      <c r="J495" s="71"/>
      <c r="K495" s="71"/>
      <c r="L495" s="71"/>
      <c r="M495" s="71"/>
      <c r="N495" s="71"/>
      <c r="O495" s="71"/>
      <c r="P495" s="46"/>
      <c r="Q495" s="46"/>
      <c r="R495" s="46"/>
      <c r="S495" s="46"/>
      <c r="T495" s="46"/>
      <c r="U495" s="50"/>
      <c r="V495" s="46"/>
    </row>
    <row r="496" spans="2:22" s="27" customFormat="1">
      <c r="B496" s="18"/>
      <c r="C496" s="18"/>
      <c r="D496" s="18"/>
      <c r="E496" s="18"/>
      <c r="F496" s="18"/>
      <c r="G496" s="18"/>
      <c r="H496" s="18"/>
      <c r="I496" s="71"/>
      <c r="J496" s="71"/>
      <c r="K496" s="71"/>
      <c r="L496" s="71"/>
      <c r="M496" s="71"/>
      <c r="N496" s="71"/>
      <c r="O496" s="71"/>
      <c r="P496" s="46"/>
      <c r="Q496" s="46"/>
      <c r="R496" s="46"/>
      <c r="S496" s="46"/>
      <c r="T496" s="46"/>
      <c r="U496" s="50"/>
      <c r="V496" s="46"/>
    </row>
    <row r="497" spans="2:22" s="27" customFormat="1">
      <c r="B497" s="18"/>
      <c r="C497" s="18"/>
      <c r="D497" s="18"/>
      <c r="E497" s="18"/>
      <c r="F497" s="18"/>
      <c r="G497" s="18"/>
      <c r="H497" s="18"/>
      <c r="I497" s="71"/>
      <c r="J497" s="71"/>
      <c r="K497" s="71"/>
      <c r="L497" s="71"/>
      <c r="M497" s="71"/>
      <c r="N497" s="71"/>
      <c r="O497" s="71"/>
      <c r="P497" s="46"/>
      <c r="Q497" s="46"/>
      <c r="R497" s="46"/>
      <c r="S497" s="46"/>
      <c r="T497" s="46"/>
      <c r="U497" s="50"/>
      <c r="V497" s="46"/>
    </row>
    <row r="498" spans="2:22" s="27" customFormat="1">
      <c r="B498" s="18"/>
      <c r="C498" s="18"/>
      <c r="D498" s="18"/>
      <c r="E498" s="18"/>
      <c r="F498" s="18"/>
      <c r="G498" s="18"/>
      <c r="H498" s="18"/>
      <c r="I498" s="71"/>
      <c r="J498" s="71"/>
      <c r="K498" s="71"/>
      <c r="L498" s="71"/>
      <c r="M498" s="71"/>
      <c r="N498" s="71"/>
      <c r="O498" s="71"/>
      <c r="P498" s="46"/>
      <c r="Q498" s="46"/>
      <c r="R498" s="46"/>
      <c r="S498" s="46"/>
      <c r="T498" s="46"/>
      <c r="U498" s="50"/>
      <c r="V498" s="46"/>
    </row>
    <row r="499" spans="2:22" s="27" customFormat="1">
      <c r="B499" s="18"/>
      <c r="C499" s="18"/>
      <c r="D499" s="18"/>
      <c r="E499" s="18"/>
      <c r="F499" s="18"/>
      <c r="G499" s="18"/>
      <c r="H499" s="18"/>
      <c r="I499" s="71"/>
      <c r="J499" s="71"/>
      <c r="K499" s="71"/>
      <c r="L499" s="71"/>
      <c r="M499" s="71"/>
      <c r="N499" s="71"/>
      <c r="O499" s="71"/>
      <c r="P499" s="46"/>
      <c r="Q499" s="46"/>
      <c r="R499" s="46"/>
      <c r="S499" s="46"/>
      <c r="T499" s="46"/>
      <c r="U499" s="50"/>
      <c r="V499" s="46"/>
    </row>
    <row r="500" spans="2:22" s="27" customFormat="1">
      <c r="B500" s="18"/>
      <c r="C500" s="18"/>
      <c r="D500" s="18"/>
      <c r="E500" s="18"/>
      <c r="F500" s="18"/>
      <c r="G500" s="18"/>
      <c r="H500" s="18"/>
      <c r="I500" s="71"/>
      <c r="J500" s="71"/>
      <c r="K500" s="71"/>
      <c r="L500" s="71"/>
      <c r="M500" s="71"/>
      <c r="N500" s="71"/>
      <c r="O500" s="71"/>
      <c r="P500" s="46"/>
      <c r="Q500" s="46"/>
      <c r="R500" s="46"/>
      <c r="S500" s="46"/>
      <c r="T500" s="46"/>
      <c r="U500" s="50"/>
      <c r="V500" s="46"/>
    </row>
    <row r="501" spans="2:22" s="27" customFormat="1">
      <c r="B501" s="18"/>
      <c r="C501" s="18"/>
      <c r="D501" s="18"/>
      <c r="E501" s="18"/>
      <c r="F501" s="18"/>
      <c r="G501" s="18"/>
      <c r="H501" s="18"/>
      <c r="I501" s="71"/>
      <c r="J501" s="71"/>
      <c r="K501" s="71"/>
      <c r="L501" s="71"/>
      <c r="M501" s="71"/>
      <c r="N501" s="71"/>
      <c r="O501" s="71"/>
      <c r="P501" s="46"/>
      <c r="Q501" s="46"/>
      <c r="R501" s="46"/>
      <c r="S501" s="46"/>
      <c r="T501" s="46"/>
      <c r="U501" s="50"/>
      <c r="V501" s="46"/>
    </row>
    <row r="502" spans="2:22" s="27" customFormat="1">
      <c r="B502" s="18"/>
      <c r="C502" s="18"/>
      <c r="D502" s="18"/>
      <c r="E502" s="18"/>
      <c r="F502" s="18"/>
      <c r="G502" s="18"/>
      <c r="H502" s="18"/>
      <c r="I502" s="71"/>
      <c r="J502" s="71"/>
      <c r="K502" s="71"/>
      <c r="L502" s="71"/>
      <c r="M502" s="71"/>
      <c r="N502" s="71"/>
      <c r="O502" s="71"/>
      <c r="P502" s="46"/>
      <c r="Q502" s="46"/>
      <c r="R502" s="46"/>
      <c r="S502" s="46"/>
      <c r="T502" s="46"/>
      <c r="U502" s="50"/>
      <c r="V502" s="46"/>
    </row>
    <row r="503" spans="2:22" s="27" customFormat="1">
      <c r="B503" s="18"/>
      <c r="C503" s="18"/>
      <c r="D503" s="18"/>
      <c r="E503" s="18"/>
      <c r="F503" s="18"/>
      <c r="G503" s="18"/>
      <c r="H503" s="18"/>
      <c r="I503" s="71"/>
      <c r="J503" s="71"/>
      <c r="K503" s="71"/>
      <c r="L503" s="71"/>
      <c r="M503" s="71"/>
      <c r="N503" s="71"/>
      <c r="O503" s="71"/>
      <c r="P503" s="46"/>
      <c r="Q503" s="46"/>
      <c r="R503" s="46"/>
      <c r="S503" s="46"/>
      <c r="T503" s="46"/>
      <c r="U503" s="50"/>
      <c r="V503" s="46"/>
    </row>
    <row r="504" spans="2:22" s="27" customFormat="1">
      <c r="B504" s="18"/>
      <c r="C504" s="18"/>
      <c r="D504" s="18"/>
      <c r="E504" s="18"/>
      <c r="F504" s="18"/>
      <c r="G504" s="18"/>
      <c r="H504" s="18"/>
      <c r="I504" s="71"/>
      <c r="J504" s="71"/>
      <c r="K504" s="71"/>
      <c r="L504" s="71"/>
      <c r="M504" s="71"/>
      <c r="N504" s="71"/>
      <c r="O504" s="71"/>
      <c r="P504" s="46"/>
      <c r="Q504" s="46"/>
      <c r="R504" s="46"/>
      <c r="S504" s="46"/>
      <c r="T504" s="46"/>
      <c r="U504" s="50"/>
      <c r="V504" s="46"/>
    </row>
    <row r="505" spans="2:22" s="27" customFormat="1">
      <c r="B505" s="18"/>
      <c r="C505" s="18"/>
      <c r="D505" s="18"/>
      <c r="E505" s="18"/>
      <c r="F505" s="18"/>
      <c r="G505" s="18"/>
      <c r="H505" s="18"/>
      <c r="I505" s="71"/>
      <c r="J505" s="71"/>
      <c r="K505" s="71"/>
      <c r="L505" s="71"/>
      <c r="M505" s="71"/>
      <c r="N505" s="71"/>
      <c r="O505" s="71"/>
      <c r="P505" s="46"/>
      <c r="Q505" s="46"/>
      <c r="R505" s="46"/>
      <c r="S505" s="46"/>
      <c r="T505" s="46"/>
      <c r="U505" s="50"/>
      <c r="V505" s="46"/>
    </row>
    <row r="506" spans="2:22" s="27" customFormat="1">
      <c r="B506" s="18"/>
      <c r="C506" s="18"/>
      <c r="D506" s="18"/>
      <c r="E506" s="18"/>
      <c r="F506" s="18"/>
      <c r="G506" s="18"/>
      <c r="H506" s="18"/>
      <c r="I506" s="71"/>
      <c r="J506" s="71"/>
      <c r="K506" s="71"/>
      <c r="L506" s="71"/>
      <c r="M506" s="71"/>
      <c r="N506" s="71"/>
      <c r="O506" s="71"/>
      <c r="P506" s="46"/>
      <c r="Q506" s="46"/>
      <c r="R506" s="46"/>
      <c r="S506" s="46"/>
      <c r="T506" s="46"/>
      <c r="U506" s="50"/>
      <c r="V506" s="46"/>
    </row>
    <row r="507" spans="2:22" s="27" customFormat="1">
      <c r="B507" s="18"/>
      <c r="C507" s="18"/>
      <c r="D507" s="18"/>
      <c r="E507" s="18"/>
      <c r="F507" s="18"/>
      <c r="G507" s="18"/>
      <c r="H507" s="18"/>
      <c r="I507" s="71"/>
      <c r="J507" s="71"/>
      <c r="K507" s="71"/>
      <c r="L507" s="71"/>
      <c r="M507" s="71"/>
      <c r="N507" s="71"/>
      <c r="O507" s="71"/>
      <c r="P507" s="46"/>
      <c r="Q507" s="46"/>
      <c r="R507" s="46"/>
      <c r="S507" s="46"/>
      <c r="T507" s="46"/>
      <c r="U507" s="50"/>
      <c r="V507" s="46"/>
    </row>
    <row r="508" spans="2:22" s="27" customFormat="1">
      <c r="B508" s="18"/>
      <c r="C508" s="18"/>
      <c r="D508" s="18"/>
      <c r="E508" s="18"/>
      <c r="F508" s="18"/>
      <c r="G508" s="18"/>
      <c r="H508" s="18"/>
      <c r="I508" s="71"/>
      <c r="J508" s="71"/>
      <c r="K508" s="71"/>
      <c r="L508" s="71"/>
      <c r="M508" s="71"/>
      <c r="N508" s="71"/>
      <c r="O508" s="71"/>
      <c r="P508" s="46"/>
      <c r="Q508" s="46"/>
      <c r="R508" s="46"/>
      <c r="S508" s="46"/>
      <c r="T508" s="46"/>
      <c r="U508" s="50"/>
      <c r="V508" s="46"/>
    </row>
    <row r="509" spans="2:22" s="27" customFormat="1">
      <c r="B509" s="18"/>
      <c r="C509" s="18"/>
      <c r="D509" s="18"/>
      <c r="E509" s="18"/>
      <c r="F509" s="18"/>
      <c r="G509" s="18"/>
      <c r="H509" s="18"/>
      <c r="I509" s="71"/>
      <c r="J509" s="71"/>
      <c r="K509" s="71"/>
      <c r="L509" s="71"/>
      <c r="M509" s="71"/>
      <c r="N509" s="71"/>
      <c r="O509" s="71"/>
      <c r="P509" s="46"/>
      <c r="Q509" s="46"/>
      <c r="R509" s="46"/>
      <c r="S509" s="46"/>
      <c r="T509" s="46"/>
      <c r="U509" s="50"/>
      <c r="V509" s="46"/>
    </row>
    <row r="510" spans="2:22" s="27" customFormat="1">
      <c r="B510" s="18"/>
      <c r="C510" s="18"/>
      <c r="D510" s="18"/>
      <c r="E510" s="18"/>
      <c r="F510" s="18"/>
      <c r="G510" s="18"/>
      <c r="H510" s="18"/>
      <c r="I510" s="71"/>
      <c r="J510" s="71"/>
      <c r="K510" s="71"/>
      <c r="L510" s="71"/>
      <c r="M510" s="71"/>
      <c r="N510" s="71"/>
      <c r="O510" s="71"/>
      <c r="P510" s="46"/>
      <c r="Q510" s="46"/>
      <c r="R510" s="46"/>
      <c r="S510" s="46"/>
      <c r="T510" s="46"/>
      <c r="U510" s="50"/>
      <c r="V510" s="46"/>
    </row>
    <row r="511" spans="2:22" s="27" customFormat="1">
      <c r="B511" s="18"/>
      <c r="C511" s="18"/>
      <c r="D511" s="18"/>
      <c r="E511" s="18"/>
      <c r="F511" s="18"/>
      <c r="G511" s="18"/>
      <c r="H511" s="18"/>
      <c r="I511" s="71"/>
      <c r="J511" s="71"/>
      <c r="K511" s="71"/>
      <c r="L511" s="71"/>
      <c r="M511" s="71"/>
      <c r="N511" s="71"/>
      <c r="O511" s="71"/>
      <c r="P511" s="46"/>
      <c r="Q511" s="46"/>
      <c r="R511" s="46"/>
      <c r="S511" s="46"/>
      <c r="T511" s="46"/>
      <c r="U511" s="50"/>
      <c r="V511" s="46"/>
    </row>
    <row r="512" spans="2:22" s="27" customFormat="1">
      <c r="B512" s="18"/>
      <c r="C512" s="18"/>
      <c r="D512" s="18"/>
      <c r="E512" s="18"/>
      <c r="F512" s="18"/>
      <c r="G512" s="18"/>
      <c r="H512" s="18"/>
      <c r="I512" s="71"/>
      <c r="J512" s="71"/>
      <c r="K512" s="71"/>
      <c r="L512" s="71"/>
      <c r="M512" s="71"/>
      <c r="N512" s="71"/>
      <c r="O512" s="71"/>
      <c r="P512" s="46"/>
      <c r="Q512" s="46"/>
      <c r="R512" s="46"/>
      <c r="S512" s="46"/>
      <c r="T512" s="46"/>
      <c r="U512" s="50"/>
      <c r="V512" s="46"/>
    </row>
    <row r="513" spans="2:22" s="27" customFormat="1">
      <c r="B513" s="18"/>
      <c r="C513" s="18"/>
      <c r="D513" s="18"/>
      <c r="E513" s="18"/>
      <c r="F513" s="18"/>
      <c r="G513" s="18"/>
      <c r="H513" s="18"/>
      <c r="I513" s="71"/>
      <c r="J513" s="71"/>
      <c r="K513" s="71"/>
      <c r="L513" s="71"/>
      <c r="M513" s="71"/>
      <c r="N513" s="71"/>
      <c r="O513" s="71"/>
      <c r="P513" s="46"/>
      <c r="Q513" s="46"/>
      <c r="R513" s="46"/>
      <c r="S513" s="46"/>
      <c r="T513" s="46"/>
      <c r="U513" s="50"/>
      <c r="V513" s="46"/>
    </row>
    <row r="514" spans="2:22" s="27" customFormat="1">
      <c r="B514" s="18"/>
      <c r="C514" s="18"/>
      <c r="D514" s="18"/>
      <c r="E514" s="18"/>
      <c r="F514" s="18"/>
      <c r="G514" s="18"/>
      <c r="H514" s="18"/>
      <c r="I514" s="71"/>
      <c r="J514" s="71"/>
      <c r="K514" s="71"/>
      <c r="L514" s="71"/>
      <c r="M514" s="71"/>
      <c r="N514" s="71"/>
      <c r="O514" s="71"/>
      <c r="P514" s="46"/>
      <c r="Q514" s="46"/>
      <c r="R514" s="46"/>
      <c r="S514" s="46"/>
      <c r="T514" s="46"/>
      <c r="U514" s="50"/>
      <c r="V514" s="46"/>
    </row>
    <row r="515" spans="2:22" s="27" customFormat="1">
      <c r="B515" s="18"/>
      <c r="C515" s="18"/>
      <c r="D515" s="18"/>
      <c r="E515" s="18"/>
      <c r="F515" s="18"/>
      <c r="G515" s="18"/>
      <c r="H515" s="18"/>
      <c r="I515" s="71"/>
      <c r="J515" s="71"/>
      <c r="K515" s="71"/>
      <c r="L515" s="71"/>
      <c r="M515" s="71"/>
      <c r="N515" s="71"/>
      <c r="O515" s="71"/>
      <c r="P515" s="46"/>
      <c r="Q515" s="46"/>
      <c r="R515" s="46"/>
      <c r="S515" s="46"/>
      <c r="T515" s="46"/>
      <c r="U515" s="50"/>
      <c r="V515" s="46"/>
    </row>
    <row r="516" spans="2:22" s="27" customFormat="1">
      <c r="B516" s="18"/>
      <c r="C516" s="18"/>
      <c r="D516" s="18"/>
      <c r="E516" s="18"/>
      <c r="F516" s="18"/>
      <c r="G516" s="18"/>
      <c r="H516" s="18"/>
      <c r="I516" s="71"/>
      <c r="J516" s="71"/>
      <c r="K516" s="71"/>
      <c r="L516" s="71"/>
      <c r="M516" s="71"/>
      <c r="N516" s="71"/>
      <c r="O516" s="71"/>
      <c r="P516" s="46"/>
      <c r="Q516" s="46"/>
      <c r="R516" s="46"/>
      <c r="S516" s="46"/>
      <c r="T516" s="46"/>
      <c r="U516" s="50"/>
      <c r="V516" s="46"/>
    </row>
    <row r="517" spans="2:22" s="27" customFormat="1">
      <c r="B517" s="18"/>
      <c r="C517" s="18"/>
      <c r="D517" s="18"/>
      <c r="E517" s="18"/>
      <c r="F517" s="18"/>
      <c r="G517" s="18"/>
      <c r="H517" s="18"/>
      <c r="I517" s="71"/>
      <c r="J517" s="71"/>
      <c r="K517" s="71"/>
      <c r="L517" s="71"/>
      <c r="M517" s="71"/>
      <c r="N517" s="71"/>
      <c r="O517" s="71"/>
      <c r="P517" s="46"/>
      <c r="Q517" s="46"/>
      <c r="R517" s="46"/>
      <c r="S517" s="46"/>
      <c r="T517" s="46"/>
      <c r="U517" s="50"/>
      <c r="V517" s="46"/>
    </row>
    <row r="518" spans="2:22" s="27" customFormat="1">
      <c r="B518" s="18"/>
      <c r="C518" s="18"/>
      <c r="D518" s="18"/>
      <c r="E518" s="18"/>
      <c r="F518" s="18"/>
      <c r="G518" s="18"/>
      <c r="H518" s="18"/>
      <c r="I518" s="71"/>
      <c r="J518" s="71"/>
      <c r="K518" s="71"/>
      <c r="L518" s="71"/>
      <c r="M518" s="71"/>
      <c r="N518" s="71"/>
      <c r="O518" s="71"/>
      <c r="P518" s="46"/>
      <c r="Q518" s="46"/>
      <c r="R518" s="46"/>
      <c r="S518" s="46"/>
      <c r="T518" s="46"/>
      <c r="U518" s="50"/>
      <c r="V518" s="46"/>
    </row>
    <row r="519" spans="2:22" s="27" customFormat="1">
      <c r="B519" s="18"/>
      <c r="C519" s="18"/>
      <c r="D519" s="18"/>
      <c r="E519" s="18"/>
      <c r="F519" s="18"/>
      <c r="G519" s="18"/>
      <c r="H519" s="18"/>
      <c r="I519" s="71"/>
      <c r="J519" s="71"/>
      <c r="K519" s="71"/>
      <c r="L519" s="71"/>
      <c r="M519" s="71"/>
      <c r="N519" s="71"/>
      <c r="O519" s="71"/>
      <c r="P519" s="46"/>
      <c r="Q519" s="46"/>
      <c r="R519" s="46"/>
      <c r="S519" s="46"/>
      <c r="T519" s="46"/>
      <c r="U519" s="50"/>
      <c r="V519" s="46"/>
    </row>
    <row r="520" spans="2:22" s="27" customFormat="1">
      <c r="B520" s="18"/>
      <c r="C520" s="18"/>
      <c r="D520" s="18"/>
      <c r="E520" s="18"/>
      <c r="F520" s="18"/>
      <c r="G520" s="18"/>
      <c r="H520" s="18"/>
      <c r="I520" s="71"/>
      <c r="J520" s="71"/>
      <c r="K520" s="71"/>
      <c r="L520" s="71"/>
      <c r="M520" s="71"/>
      <c r="N520" s="71"/>
      <c r="O520" s="71"/>
      <c r="P520" s="46"/>
      <c r="Q520" s="46"/>
      <c r="R520" s="46"/>
      <c r="S520" s="46"/>
      <c r="T520" s="46"/>
      <c r="U520" s="50"/>
      <c r="V520" s="46"/>
    </row>
    <row r="521" spans="2:22" s="27" customFormat="1">
      <c r="B521" s="18"/>
      <c r="C521" s="18"/>
      <c r="D521" s="18"/>
      <c r="E521" s="18"/>
      <c r="F521" s="18"/>
      <c r="G521" s="18"/>
      <c r="H521" s="18"/>
      <c r="I521" s="71"/>
      <c r="J521" s="71"/>
      <c r="K521" s="71"/>
      <c r="L521" s="71"/>
      <c r="M521" s="71"/>
      <c r="N521" s="71"/>
      <c r="O521" s="71"/>
      <c r="P521" s="46"/>
      <c r="Q521" s="46"/>
      <c r="R521" s="46"/>
      <c r="S521" s="46"/>
      <c r="T521" s="46"/>
      <c r="U521" s="50"/>
      <c r="V521" s="46"/>
    </row>
    <row r="522" spans="2:22" s="27" customFormat="1">
      <c r="B522" s="18"/>
      <c r="C522" s="18"/>
      <c r="D522" s="18"/>
      <c r="E522" s="18"/>
      <c r="F522" s="18"/>
      <c r="G522" s="18"/>
      <c r="H522" s="18"/>
      <c r="I522" s="71"/>
      <c r="J522" s="71"/>
      <c r="K522" s="71"/>
      <c r="L522" s="71"/>
      <c r="M522" s="71"/>
      <c r="N522" s="71"/>
      <c r="O522" s="71"/>
      <c r="P522" s="46"/>
      <c r="Q522" s="46"/>
      <c r="R522" s="46"/>
      <c r="S522" s="46"/>
      <c r="T522" s="46"/>
      <c r="U522" s="50"/>
      <c r="V522" s="46"/>
    </row>
    <row r="523" spans="2:22" s="27" customFormat="1">
      <c r="B523" s="18"/>
      <c r="C523" s="18"/>
      <c r="D523" s="18"/>
      <c r="E523" s="18"/>
      <c r="F523" s="18"/>
      <c r="G523" s="18"/>
      <c r="H523" s="18"/>
      <c r="I523" s="71"/>
      <c r="J523" s="71"/>
      <c r="K523" s="71"/>
      <c r="L523" s="71"/>
      <c r="M523" s="71"/>
      <c r="N523" s="71"/>
      <c r="O523" s="71"/>
      <c r="P523" s="46"/>
      <c r="Q523" s="46"/>
      <c r="R523" s="46"/>
      <c r="S523" s="46"/>
      <c r="T523" s="46"/>
      <c r="U523" s="50"/>
      <c r="V523" s="46"/>
    </row>
    <row r="524" spans="2:22" s="27" customFormat="1">
      <c r="B524" s="18"/>
      <c r="C524" s="18"/>
      <c r="D524" s="18"/>
      <c r="E524" s="18"/>
      <c r="F524" s="18"/>
      <c r="G524" s="18"/>
      <c r="H524" s="18"/>
      <c r="I524" s="71"/>
      <c r="J524" s="71"/>
      <c r="K524" s="71"/>
      <c r="L524" s="71"/>
      <c r="M524" s="71"/>
      <c r="N524" s="71"/>
      <c r="O524" s="71"/>
      <c r="P524" s="46"/>
      <c r="Q524" s="46"/>
      <c r="R524" s="46"/>
      <c r="S524" s="46"/>
      <c r="T524" s="46"/>
      <c r="U524" s="50"/>
      <c r="V524" s="46"/>
    </row>
    <row r="525" spans="2:22" s="27" customFormat="1">
      <c r="B525" s="18"/>
      <c r="C525" s="18"/>
      <c r="D525" s="18"/>
      <c r="E525" s="18"/>
      <c r="F525" s="18"/>
      <c r="G525" s="18"/>
      <c r="H525" s="18"/>
      <c r="I525" s="71"/>
      <c r="J525" s="71"/>
      <c r="K525" s="71"/>
      <c r="L525" s="71"/>
      <c r="M525" s="71"/>
      <c r="N525" s="71"/>
      <c r="O525" s="71"/>
      <c r="P525" s="46"/>
      <c r="Q525" s="46"/>
      <c r="R525" s="46"/>
      <c r="S525" s="46"/>
      <c r="T525" s="46"/>
      <c r="U525" s="50"/>
      <c r="V525" s="46"/>
    </row>
    <row r="526" spans="2:22" s="27" customFormat="1">
      <c r="B526" s="18"/>
      <c r="C526" s="18"/>
      <c r="D526" s="18"/>
      <c r="E526" s="18"/>
      <c r="F526" s="18"/>
      <c r="G526" s="18"/>
      <c r="H526" s="18"/>
      <c r="I526" s="71"/>
      <c r="J526" s="71"/>
      <c r="K526" s="71"/>
      <c r="L526" s="71"/>
      <c r="M526" s="71"/>
      <c r="N526" s="71"/>
      <c r="O526" s="71"/>
      <c r="P526" s="46"/>
      <c r="Q526" s="46"/>
      <c r="R526" s="46"/>
      <c r="S526" s="46"/>
      <c r="T526" s="46"/>
      <c r="U526" s="50"/>
      <c r="V526" s="46"/>
    </row>
    <row r="527" spans="2:22" s="27" customFormat="1">
      <c r="B527" s="18"/>
      <c r="C527" s="18"/>
      <c r="D527" s="18"/>
      <c r="E527" s="18"/>
      <c r="F527" s="18"/>
      <c r="G527" s="18"/>
      <c r="H527" s="18"/>
      <c r="I527" s="71"/>
      <c r="J527" s="71"/>
      <c r="K527" s="71"/>
      <c r="L527" s="71"/>
      <c r="M527" s="71"/>
      <c r="N527" s="71"/>
      <c r="O527" s="71"/>
      <c r="P527" s="46"/>
      <c r="Q527" s="46"/>
      <c r="R527" s="46"/>
      <c r="S527" s="46"/>
      <c r="T527" s="46"/>
      <c r="U527" s="50"/>
      <c r="V527" s="46"/>
    </row>
    <row r="528" spans="2:22" s="27" customFormat="1">
      <c r="B528" s="18"/>
      <c r="C528" s="18"/>
      <c r="D528" s="18"/>
      <c r="E528" s="18"/>
      <c r="F528" s="18"/>
      <c r="G528" s="18"/>
      <c r="H528" s="18"/>
      <c r="I528" s="71"/>
      <c r="J528" s="71"/>
      <c r="K528" s="71"/>
      <c r="L528" s="71"/>
      <c r="M528" s="71"/>
      <c r="N528" s="71"/>
      <c r="O528" s="71"/>
      <c r="P528" s="46"/>
      <c r="Q528" s="46"/>
      <c r="R528" s="46"/>
      <c r="S528" s="46"/>
      <c r="T528" s="46"/>
      <c r="U528" s="50"/>
      <c r="V528" s="46"/>
    </row>
    <row r="529" spans="2:22" s="27" customFormat="1">
      <c r="B529" s="18"/>
      <c r="C529" s="18"/>
      <c r="D529" s="18"/>
      <c r="E529" s="18"/>
      <c r="F529" s="18"/>
      <c r="G529" s="18"/>
      <c r="H529" s="18"/>
      <c r="I529" s="71"/>
      <c r="J529" s="71"/>
      <c r="K529" s="71"/>
      <c r="L529" s="71"/>
      <c r="M529" s="71"/>
      <c r="N529" s="71"/>
      <c r="O529" s="71"/>
      <c r="P529" s="46"/>
      <c r="Q529" s="46"/>
      <c r="R529" s="46"/>
      <c r="S529" s="46"/>
      <c r="T529" s="46"/>
      <c r="U529" s="50"/>
      <c r="V529" s="46"/>
    </row>
    <row r="530" spans="2:22" s="27" customFormat="1">
      <c r="B530" s="18"/>
      <c r="C530" s="18"/>
      <c r="D530" s="18"/>
      <c r="E530" s="18"/>
      <c r="F530" s="18"/>
      <c r="G530" s="18"/>
      <c r="H530" s="18"/>
      <c r="I530" s="71"/>
      <c r="J530" s="71"/>
      <c r="K530" s="71"/>
      <c r="L530" s="71"/>
      <c r="M530" s="71"/>
      <c r="N530" s="71"/>
      <c r="O530" s="71"/>
      <c r="P530" s="46"/>
      <c r="Q530" s="46"/>
      <c r="R530" s="46"/>
      <c r="S530" s="46"/>
      <c r="T530" s="46"/>
      <c r="U530" s="50"/>
      <c r="V530" s="46"/>
    </row>
    <row r="531" spans="2:22" s="27" customFormat="1">
      <c r="B531" s="18"/>
      <c r="C531" s="18"/>
      <c r="D531" s="18"/>
      <c r="E531" s="18"/>
      <c r="F531" s="18"/>
      <c r="G531" s="18"/>
      <c r="H531" s="18"/>
      <c r="I531" s="71"/>
      <c r="J531" s="71"/>
      <c r="K531" s="71"/>
      <c r="L531" s="71"/>
      <c r="M531" s="71"/>
      <c r="N531" s="71"/>
      <c r="O531" s="71"/>
      <c r="P531" s="46"/>
      <c r="Q531" s="46"/>
      <c r="R531" s="46"/>
      <c r="S531" s="46"/>
      <c r="T531" s="46"/>
      <c r="U531" s="50"/>
      <c r="V531" s="46"/>
    </row>
    <row r="532" spans="2:22" s="27" customFormat="1">
      <c r="B532" s="18"/>
      <c r="C532" s="18"/>
      <c r="D532" s="18"/>
      <c r="E532" s="18"/>
      <c r="F532" s="18"/>
      <c r="G532" s="18"/>
      <c r="H532" s="18"/>
      <c r="I532" s="71"/>
      <c r="J532" s="71"/>
      <c r="K532" s="71"/>
      <c r="L532" s="71"/>
      <c r="M532" s="71"/>
      <c r="N532" s="71"/>
      <c r="O532" s="71"/>
      <c r="P532" s="46"/>
      <c r="Q532" s="46"/>
      <c r="R532" s="46"/>
      <c r="S532" s="46"/>
      <c r="T532" s="46"/>
      <c r="U532" s="50"/>
      <c r="V532" s="46"/>
    </row>
    <row r="533" spans="2:22" s="27" customFormat="1">
      <c r="B533" s="18"/>
      <c r="C533" s="18"/>
      <c r="D533" s="18"/>
      <c r="E533" s="18"/>
      <c r="F533" s="18"/>
      <c r="G533" s="18"/>
      <c r="H533" s="18"/>
      <c r="I533" s="71"/>
      <c r="J533" s="71"/>
      <c r="K533" s="71"/>
      <c r="L533" s="71"/>
      <c r="M533" s="71"/>
      <c r="N533" s="71"/>
      <c r="O533" s="71"/>
      <c r="P533" s="46"/>
      <c r="Q533" s="46"/>
      <c r="R533" s="46"/>
      <c r="S533" s="46"/>
      <c r="T533" s="46"/>
      <c r="U533" s="50"/>
      <c r="V533" s="46"/>
    </row>
    <row r="534" spans="2:22" s="27" customFormat="1">
      <c r="B534" s="18"/>
      <c r="C534" s="18"/>
      <c r="D534" s="18"/>
      <c r="E534" s="18"/>
      <c r="F534" s="18"/>
      <c r="G534" s="18"/>
      <c r="H534" s="18"/>
      <c r="I534" s="71"/>
      <c r="J534" s="71"/>
      <c r="K534" s="71"/>
      <c r="L534" s="71"/>
      <c r="M534" s="71"/>
      <c r="N534" s="71"/>
      <c r="O534" s="71"/>
      <c r="P534" s="46"/>
      <c r="Q534" s="46"/>
      <c r="R534" s="46"/>
      <c r="S534" s="46"/>
      <c r="T534" s="46"/>
      <c r="U534" s="50"/>
      <c r="V534" s="46"/>
    </row>
    <row r="535" spans="2:22" s="27" customFormat="1">
      <c r="B535" s="18"/>
      <c r="C535" s="18"/>
      <c r="D535" s="18"/>
      <c r="E535" s="18"/>
      <c r="F535" s="18"/>
      <c r="G535" s="18"/>
      <c r="H535" s="18"/>
      <c r="I535" s="71"/>
      <c r="J535" s="71"/>
      <c r="K535" s="71"/>
      <c r="L535" s="71"/>
      <c r="M535" s="71"/>
      <c r="N535" s="71"/>
      <c r="O535" s="71"/>
      <c r="P535" s="46"/>
      <c r="Q535" s="46"/>
      <c r="R535" s="46"/>
      <c r="S535" s="46"/>
      <c r="T535" s="46"/>
      <c r="U535" s="50"/>
      <c r="V535" s="46"/>
    </row>
    <row r="536" spans="2:22" s="27" customFormat="1">
      <c r="B536" s="18"/>
      <c r="C536" s="18"/>
      <c r="D536" s="18"/>
      <c r="E536" s="18"/>
      <c r="F536" s="18"/>
      <c r="G536" s="18"/>
      <c r="H536" s="18"/>
      <c r="I536" s="71"/>
      <c r="J536" s="71"/>
      <c r="K536" s="71"/>
      <c r="L536" s="71"/>
      <c r="M536" s="71"/>
      <c r="N536" s="71"/>
      <c r="O536" s="71"/>
      <c r="P536" s="46"/>
      <c r="Q536" s="46"/>
      <c r="R536" s="46"/>
      <c r="S536" s="46"/>
      <c r="T536" s="46"/>
      <c r="U536" s="50"/>
      <c r="V536" s="46"/>
    </row>
    <row r="537" spans="2:22" s="27" customFormat="1">
      <c r="B537" s="18"/>
      <c r="C537" s="18"/>
      <c r="D537" s="18"/>
      <c r="E537" s="18"/>
      <c r="F537" s="18"/>
      <c r="G537" s="18"/>
      <c r="H537" s="18"/>
      <c r="I537" s="71"/>
      <c r="J537" s="71"/>
      <c r="K537" s="71"/>
      <c r="L537" s="71"/>
      <c r="M537" s="71"/>
      <c r="N537" s="71"/>
      <c r="O537" s="71"/>
      <c r="P537" s="46"/>
      <c r="Q537" s="46"/>
      <c r="R537" s="46"/>
      <c r="S537" s="46"/>
      <c r="T537" s="46"/>
      <c r="U537" s="50"/>
      <c r="V537" s="46"/>
    </row>
    <row r="538" spans="2:22" s="27" customFormat="1">
      <c r="B538" s="18"/>
      <c r="C538" s="18"/>
      <c r="D538" s="18"/>
      <c r="E538" s="18"/>
      <c r="F538" s="18"/>
      <c r="G538" s="18"/>
      <c r="H538" s="18"/>
      <c r="I538" s="71"/>
      <c r="J538" s="71"/>
      <c r="K538" s="71"/>
      <c r="L538" s="71"/>
      <c r="M538" s="71"/>
      <c r="N538" s="71"/>
      <c r="O538" s="71"/>
      <c r="P538" s="46"/>
      <c r="Q538" s="46"/>
      <c r="R538" s="46"/>
      <c r="S538" s="46"/>
      <c r="T538" s="46"/>
      <c r="U538" s="50"/>
      <c r="V538" s="46"/>
    </row>
    <row r="539" spans="2:22" s="27" customFormat="1">
      <c r="B539" s="18"/>
      <c r="C539" s="18"/>
      <c r="D539" s="18"/>
      <c r="E539" s="18"/>
      <c r="F539" s="18"/>
      <c r="G539" s="18"/>
      <c r="H539" s="18"/>
      <c r="I539" s="71"/>
      <c r="J539" s="71"/>
      <c r="K539" s="71"/>
      <c r="L539" s="71"/>
      <c r="M539" s="71"/>
      <c r="N539" s="71"/>
      <c r="O539" s="71"/>
      <c r="P539" s="46"/>
      <c r="Q539" s="46"/>
      <c r="R539" s="46"/>
      <c r="S539" s="46"/>
      <c r="T539" s="46"/>
      <c r="U539" s="50"/>
      <c r="V539" s="46"/>
    </row>
    <row r="540" spans="2:22" s="27" customFormat="1">
      <c r="B540" s="18"/>
      <c r="C540" s="18"/>
      <c r="D540" s="18"/>
      <c r="E540" s="18"/>
      <c r="F540" s="18"/>
      <c r="G540" s="18"/>
      <c r="H540" s="18"/>
      <c r="I540" s="71"/>
      <c r="J540" s="71"/>
      <c r="K540" s="71"/>
      <c r="L540" s="71"/>
      <c r="M540" s="71"/>
      <c r="N540" s="71"/>
      <c r="O540" s="71"/>
      <c r="P540" s="46"/>
      <c r="Q540" s="46"/>
      <c r="R540" s="46"/>
      <c r="S540" s="46"/>
      <c r="T540" s="46"/>
      <c r="U540" s="50"/>
      <c r="V540" s="46"/>
    </row>
    <row r="541" spans="2:22" s="27" customFormat="1">
      <c r="B541" s="18"/>
      <c r="C541" s="18"/>
      <c r="D541" s="18"/>
      <c r="E541" s="18"/>
      <c r="F541" s="18"/>
      <c r="G541" s="18"/>
      <c r="H541" s="18"/>
      <c r="I541" s="71"/>
      <c r="J541" s="71"/>
      <c r="K541" s="71"/>
      <c r="L541" s="71"/>
      <c r="M541" s="71"/>
      <c r="N541" s="71"/>
      <c r="O541" s="71"/>
      <c r="P541" s="46"/>
      <c r="Q541" s="46"/>
      <c r="R541" s="46"/>
      <c r="S541" s="46"/>
      <c r="T541" s="46"/>
      <c r="U541" s="50"/>
      <c r="V541" s="46"/>
    </row>
    <row r="542" spans="2:22" s="27" customFormat="1">
      <c r="B542" s="18"/>
      <c r="C542" s="18"/>
      <c r="D542" s="18"/>
      <c r="E542" s="18"/>
      <c r="F542" s="18"/>
      <c r="G542" s="18"/>
      <c r="H542" s="18"/>
      <c r="I542" s="71"/>
      <c r="J542" s="71"/>
      <c r="K542" s="71"/>
      <c r="L542" s="71"/>
      <c r="M542" s="71"/>
      <c r="N542" s="71"/>
      <c r="O542" s="71"/>
      <c r="P542" s="46"/>
      <c r="Q542" s="46"/>
      <c r="R542" s="46"/>
      <c r="S542" s="46"/>
      <c r="T542" s="46"/>
      <c r="U542" s="50"/>
      <c r="V542" s="46"/>
    </row>
    <row r="543" spans="2:22" s="27" customFormat="1">
      <c r="B543" s="18"/>
      <c r="C543" s="18"/>
      <c r="D543" s="18"/>
      <c r="E543" s="18"/>
      <c r="F543" s="18"/>
      <c r="G543" s="18"/>
      <c r="H543" s="18"/>
      <c r="I543" s="71"/>
      <c r="J543" s="71"/>
      <c r="K543" s="71"/>
      <c r="L543" s="71"/>
      <c r="M543" s="71"/>
      <c r="N543" s="71"/>
      <c r="O543" s="71"/>
      <c r="P543" s="46"/>
      <c r="Q543" s="46"/>
      <c r="R543" s="46"/>
      <c r="S543" s="46"/>
      <c r="T543" s="46"/>
      <c r="U543" s="50"/>
      <c r="V543" s="46"/>
    </row>
    <row r="544" spans="2:22" s="27" customFormat="1">
      <c r="B544" s="18"/>
      <c r="C544" s="18"/>
      <c r="D544" s="18"/>
      <c r="E544" s="18"/>
      <c r="F544" s="18"/>
      <c r="G544" s="18"/>
      <c r="H544" s="18"/>
      <c r="I544" s="71"/>
      <c r="J544" s="71"/>
      <c r="K544" s="71"/>
      <c r="L544" s="71"/>
      <c r="M544" s="71"/>
      <c r="N544" s="71"/>
      <c r="O544" s="71"/>
      <c r="P544" s="46"/>
      <c r="Q544" s="46"/>
      <c r="R544" s="46"/>
      <c r="S544" s="46"/>
      <c r="T544" s="46"/>
      <c r="U544" s="50"/>
      <c r="V544" s="46"/>
    </row>
    <row r="545" spans="2:22" s="27" customFormat="1">
      <c r="B545" s="18"/>
      <c r="C545" s="18"/>
      <c r="D545" s="18"/>
      <c r="E545" s="18"/>
      <c r="F545" s="18"/>
      <c r="G545" s="18"/>
      <c r="H545" s="18"/>
      <c r="I545" s="71"/>
      <c r="J545" s="71"/>
      <c r="K545" s="71"/>
      <c r="L545" s="71"/>
      <c r="M545" s="71"/>
      <c r="N545" s="71"/>
      <c r="O545" s="71"/>
      <c r="P545" s="46"/>
      <c r="Q545" s="46"/>
      <c r="R545" s="46"/>
      <c r="S545" s="46"/>
      <c r="T545" s="46"/>
      <c r="U545" s="50"/>
      <c r="V545" s="46"/>
    </row>
    <row r="546" spans="2:22" s="27" customFormat="1">
      <c r="B546" s="18"/>
      <c r="C546" s="18"/>
      <c r="D546" s="18"/>
      <c r="E546" s="18"/>
      <c r="F546" s="18"/>
      <c r="G546" s="18"/>
      <c r="H546" s="18"/>
      <c r="I546" s="71"/>
      <c r="J546" s="71"/>
      <c r="K546" s="71"/>
      <c r="L546" s="71"/>
      <c r="M546" s="71"/>
      <c r="N546" s="71"/>
      <c r="O546" s="71"/>
      <c r="P546" s="46"/>
      <c r="Q546" s="46"/>
      <c r="R546" s="46"/>
      <c r="S546" s="46"/>
      <c r="T546" s="46"/>
      <c r="U546" s="50"/>
      <c r="V546" s="46"/>
    </row>
    <row r="547" spans="2:22" s="27" customFormat="1">
      <c r="B547" s="18"/>
      <c r="C547" s="18"/>
      <c r="D547" s="18"/>
      <c r="E547" s="18"/>
      <c r="F547" s="18"/>
      <c r="G547" s="18"/>
      <c r="H547" s="18"/>
      <c r="I547" s="71"/>
      <c r="J547" s="71"/>
      <c r="K547" s="71"/>
      <c r="L547" s="71"/>
      <c r="M547" s="71"/>
      <c r="N547" s="71"/>
      <c r="O547" s="71"/>
      <c r="P547" s="46"/>
      <c r="Q547" s="46"/>
      <c r="R547" s="46"/>
      <c r="S547" s="46"/>
      <c r="T547" s="46"/>
      <c r="U547" s="50"/>
      <c r="V547" s="46"/>
    </row>
    <row r="548" spans="2:22" s="27" customFormat="1">
      <c r="B548" s="18"/>
      <c r="C548" s="18"/>
      <c r="D548" s="18"/>
      <c r="E548" s="18"/>
      <c r="F548" s="18"/>
      <c r="G548" s="18"/>
      <c r="H548" s="18"/>
      <c r="I548" s="71"/>
      <c r="J548" s="71"/>
      <c r="K548" s="71"/>
      <c r="L548" s="71"/>
      <c r="M548" s="71"/>
      <c r="N548" s="71"/>
      <c r="O548" s="71"/>
      <c r="P548" s="46"/>
      <c r="Q548" s="46"/>
      <c r="R548" s="46"/>
      <c r="S548" s="46"/>
      <c r="T548" s="46"/>
      <c r="U548" s="50"/>
      <c r="V548" s="46"/>
    </row>
    <row r="549" spans="2:22" s="27" customFormat="1">
      <c r="B549" s="18"/>
      <c r="C549" s="18"/>
      <c r="D549" s="18"/>
      <c r="E549" s="18"/>
      <c r="F549" s="18"/>
      <c r="G549" s="18"/>
      <c r="H549" s="18"/>
      <c r="I549" s="71"/>
      <c r="J549" s="71"/>
      <c r="K549" s="71"/>
      <c r="L549" s="71"/>
      <c r="M549" s="71"/>
      <c r="N549" s="71"/>
      <c r="O549" s="71"/>
      <c r="P549" s="46"/>
      <c r="Q549" s="46"/>
      <c r="R549" s="46"/>
      <c r="S549" s="46"/>
      <c r="T549" s="46"/>
      <c r="U549" s="50"/>
      <c r="V549" s="46"/>
    </row>
    <row r="550" spans="2:22" s="27" customFormat="1">
      <c r="B550" s="18"/>
      <c r="C550" s="18"/>
      <c r="D550" s="18"/>
      <c r="E550" s="18"/>
      <c r="F550" s="18"/>
      <c r="G550" s="18"/>
      <c r="H550" s="18"/>
      <c r="I550" s="71"/>
      <c r="J550" s="71"/>
      <c r="K550" s="71"/>
      <c r="L550" s="71"/>
      <c r="M550" s="71"/>
      <c r="N550" s="71"/>
      <c r="O550" s="71"/>
      <c r="P550" s="46"/>
      <c r="Q550" s="46"/>
      <c r="R550" s="46"/>
      <c r="S550" s="46"/>
      <c r="T550" s="46"/>
      <c r="U550" s="50"/>
      <c r="V550" s="46"/>
    </row>
    <row r="551" spans="2:22" s="27" customFormat="1">
      <c r="B551" s="18"/>
      <c r="C551" s="18"/>
      <c r="D551" s="18"/>
      <c r="E551" s="18"/>
      <c r="F551" s="18"/>
      <c r="G551" s="18"/>
      <c r="H551" s="18"/>
      <c r="I551" s="71"/>
      <c r="J551" s="71"/>
      <c r="K551" s="71"/>
      <c r="L551" s="71"/>
      <c r="M551" s="71"/>
      <c r="N551" s="71"/>
      <c r="O551" s="71"/>
      <c r="P551" s="46"/>
      <c r="Q551" s="46"/>
      <c r="R551" s="46"/>
      <c r="S551" s="46"/>
      <c r="T551" s="46"/>
      <c r="U551" s="50"/>
      <c r="V551" s="46"/>
    </row>
    <row r="552" spans="2:22" s="27" customFormat="1">
      <c r="B552" s="18"/>
      <c r="C552" s="18"/>
      <c r="D552" s="18"/>
      <c r="E552" s="18"/>
      <c r="F552" s="18"/>
      <c r="G552" s="18"/>
      <c r="H552" s="18"/>
      <c r="I552" s="71"/>
      <c r="J552" s="71"/>
      <c r="K552" s="71"/>
      <c r="L552" s="71"/>
      <c r="M552" s="71"/>
      <c r="N552" s="71"/>
      <c r="O552" s="71"/>
      <c r="P552" s="46"/>
      <c r="Q552" s="46"/>
      <c r="R552" s="46"/>
      <c r="S552" s="46"/>
      <c r="T552" s="46"/>
      <c r="U552" s="50"/>
      <c r="V552" s="46"/>
    </row>
    <row r="553" spans="2:22" s="27" customFormat="1">
      <c r="B553" s="18"/>
      <c r="C553" s="18"/>
      <c r="D553" s="18"/>
      <c r="E553" s="18"/>
      <c r="F553" s="18"/>
      <c r="G553" s="18"/>
      <c r="H553" s="18"/>
      <c r="I553" s="71"/>
      <c r="J553" s="71"/>
      <c r="K553" s="71"/>
      <c r="L553" s="71"/>
      <c r="M553" s="71"/>
      <c r="N553" s="71"/>
      <c r="O553" s="71"/>
      <c r="P553" s="46"/>
      <c r="Q553" s="46"/>
      <c r="R553" s="46"/>
      <c r="S553" s="46"/>
      <c r="T553" s="46"/>
      <c r="U553" s="50"/>
      <c r="V553" s="46"/>
    </row>
    <row r="554" spans="2:22" s="27" customFormat="1">
      <c r="B554" s="18"/>
      <c r="C554" s="18"/>
      <c r="D554" s="18"/>
      <c r="E554" s="18"/>
      <c r="F554" s="18"/>
      <c r="G554" s="18"/>
      <c r="H554" s="18"/>
      <c r="I554" s="71"/>
      <c r="J554" s="71"/>
      <c r="K554" s="71"/>
      <c r="L554" s="71"/>
      <c r="M554" s="71"/>
      <c r="N554" s="71"/>
      <c r="O554" s="71"/>
      <c r="P554" s="46"/>
      <c r="Q554" s="46"/>
      <c r="R554" s="46"/>
      <c r="S554" s="46"/>
      <c r="T554" s="46"/>
      <c r="U554" s="50"/>
      <c r="V554" s="46"/>
    </row>
    <row r="555" spans="2:22" s="27" customFormat="1">
      <c r="B555" s="18"/>
      <c r="C555" s="18"/>
      <c r="D555" s="18"/>
      <c r="E555" s="18"/>
      <c r="F555" s="18"/>
      <c r="G555" s="18"/>
      <c r="H555" s="18"/>
      <c r="I555" s="71"/>
      <c r="J555" s="71"/>
      <c r="K555" s="71"/>
      <c r="L555" s="71"/>
      <c r="M555" s="71"/>
      <c r="N555" s="71"/>
      <c r="O555" s="71"/>
      <c r="P555" s="46"/>
      <c r="Q555" s="46"/>
      <c r="R555" s="46"/>
      <c r="S555" s="46"/>
      <c r="T555" s="46"/>
      <c r="U555" s="50"/>
      <c r="V555" s="46"/>
    </row>
    <row r="556" spans="2:22" s="27" customFormat="1">
      <c r="B556" s="18"/>
      <c r="C556" s="18"/>
      <c r="D556" s="18"/>
      <c r="E556" s="18"/>
      <c r="F556" s="18"/>
      <c r="G556" s="18"/>
      <c r="H556" s="18"/>
      <c r="I556" s="71"/>
      <c r="J556" s="71"/>
      <c r="K556" s="71"/>
      <c r="L556" s="71"/>
      <c r="M556" s="71"/>
      <c r="N556" s="71"/>
      <c r="O556" s="71"/>
      <c r="P556" s="46"/>
      <c r="Q556" s="46"/>
      <c r="R556" s="46"/>
      <c r="S556" s="46"/>
      <c r="T556" s="46"/>
      <c r="U556" s="50"/>
      <c r="V556" s="46"/>
    </row>
    <row r="557" spans="2:22" s="27" customFormat="1">
      <c r="B557" s="18"/>
      <c r="C557" s="18"/>
      <c r="D557" s="18"/>
      <c r="E557" s="18"/>
      <c r="F557" s="18"/>
      <c r="G557" s="18"/>
      <c r="H557" s="18"/>
      <c r="I557" s="71"/>
      <c r="J557" s="71"/>
      <c r="K557" s="71"/>
      <c r="L557" s="71"/>
      <c r="M557" s="71"/>
      <c r="N557" s="71"/>
      <c r="O557" s="71"/>
      <c r="P557" s="46"/>
      <c r="Q557" s="46"/>
      <c r="R557" s="46"/>
      <c r="S557" s="46"/>
      <c r="T557" s="46"/>
      <c r="U557" s="50"/>
      <c r="V557" s="46"/>
    </row>
    <row r="558" spans="2:22" s="27" customFormat="1">
      <c r="B558" s="18"/>
      <c r="C558" s="18"/>
      <c r="D558" s="18"/>
      <c r="E558" s="18"/>
      <c r="F558" s="18"/>
      <c r="G558" s="18"/>
      <c r="H558" s="18"/>
      <c r="I558" s="71"/>
      <c r="J558" s="71"/>
      <c r="K558" s="71"/>
      <c r="L558" s="71"/>
      <c r="M558" s="71"/>
      <c r="N558" s="71"/>
      <c r="O558" s="71"/>
      <c r="P558" s="46"/>
      <c r="Q558" s="46"/>
      <c r="R558" s="46"/>
      <c r="S558" s="46"/>
      <c r="T558" s="46"/>
      <c r="U558" s="50"/>
      <c r="V558" s="46"/>
    </row>
    <row r="559" spans="2:22" s="27" customFormat="1">
      <c r="B559" s="18"/>
      <c r="C559" s="18"/>
      <c r="D559" s="18"/>
      <c r="E559" s="18"/>
      <c r="F559" s="18"/>
      <c r="G559" s="18"/>
      <c r="H559" s="18"/>
      <c r="I559" s="71"/>
      <c r="J559" s="71"/>
      <c r="K559" s="71"/>
      <c r="L559" s="71"/>
      <c r="M559" s="71"/>
      <c r="N559" s="71"/>
      <c r="O559" s="71"/>
      <c r="P559" s="46"/>
      <c r="Q559" s="46"/>
      <c r="R559" s="46"/>
      <c r="S559" s="46"/>
      <c r="T559" s="46"/>
      <c r="U559" s="50"/>
      <c r="V559" s="46"/>
    </row>
    <row r="560" spans="2:22" s="27" customFormat="1">
      <c r="B560" s="18"/>
      <c r="C560" s="18"/>
      <c r="D560" s="18"/>
      <c r="E560" s="18"/>
      <c r="F560" s="18"/>
      <c r="G560" s="18"/>
      <c r="H560" s="18"/>
      <c r="I560" s="71"/>
      <c r="J560" s="71"/>
      <c r="K560" s="71"/>
      <c r="L560" s="71"/>
      <c r="M560" s="71"/>
      <c r="N560" s="71"/>
      <c r="O560" s="71"/>
      <c r="P560" s="46"/>
      <c r="Q560" s="46"/>
      <c r="R560" s="46"/>
      <c r="S560" s="46"/>
      <c r="T560" s="46"/>
      <c r="U560" s="50"/>
      <c r="V560" s="46"/>
    </row>
    <row r="561" spans="2:22" s="27" customFormat="1">
      <c r="B561" s="18"/>
      <c r="C561" s="18"/>
      <c r="D561" s="18"/>
      <c r="E561" s="18"/>
      <c r="F561" s="18"/>
      <c r="G561" s="18"/>
      <c r="H561" s="18"/>
      <c r="I561" s="71"/>
      <c r="J561" s="71"/>
      <c r="K561" s="71"/>
      <c r="L561" s="71"/>
      <c r="M561" s="71"/>
      <c r="N561" s="71"/>
      <c r="O561" s="71"/>
      <c r="P561" s="46"/>
      <c r="Q561" s="46"/>
      <c r="R561" s="46"/>
      <c r="S561" s="46"/>
      <c r="T561" s="46"/>
      <c r="U561" s="50"/>
      <c r="V561" s="46"/>
    </row>
    <row r="562" spans="2:22" s="27" customFormat="1">
      <c r="B562" s="18"/>
      <c r="C562" s="18"/>
      <c r="D562" s="18"/>
      <c r="E562" s="18"/>
      <c r="F562" s="18"/>
      <c r="G562" s="18"/>
      <c r="H562" s="18"/>
      <c r="I562" s="71"/>
      <c r="J562" s="71"/>
      <c r="K562" s="71"/>
      <c r="L562" s="71"/>
      <c r="M562" s="71"/>
      <c r="N562" s="71"/>
      <c r="O562" s="71"/>
      <c r="P562" s="46"/>
      <c r="Q562" s="46"/>
      <c r="R562" s="46"/>
      <c r="S562" s="46"/>
      <c r="T562" s="46"/>
      <c r="U562" s="50"/>
      <c r="V562" s="46"/>
    </row>
    <row r="563" spans="2:22" s="27" customFormat="1">
      <c r="B563" s="18"/>
      <c r="C563" s="18"/>
      <c r="D563" s="18"/>
      <c r="E563" s="18"/>
      <c r="F563" s="18"/>
      <c r="G563" s="18"/>
      <c r="H563" s="18"/>
      <c r="I563" s="71"/>
      <c r="J563" s="71"/>
      <c r="K563" s="71"/>
      <c r="L563" s="71"/>
      <c r="M563" s="71"/>
      <c r="N563" s="71"/>
      <c r="O563" s="71"/>
      <c r="P563" s="46"/>
      <c r="Q563" s="46"/>
      <c r="R563" s="46"/>
      <c r="S563" s="46"/>
      <c r="T563" s="46"/>
      <c r="U563" s="50"/>
      <c r="V563" s="46"/>
    </row>
    <row r="564" spans="2:22" s="27" customFormat="1">
      <c r="B564" s="18"/>
      <c r="C564" s="18"/>
      <c r="D564" s="18"/>
      <c r="E564" s="18"/>
      <c r="F564" s="18"/>
      <c r="G564" s="18"/>
      <c r="H564" s="18"/>
      <c r="I564" s="71"/>
      <c r="J564" s="71"/>
      <c r="K564" s="71"/>
      <c r="L564" s="71"/>
      <c r="M564" s="71"/>
      <c r="N564" s="71"/>
      <c r="O564" s="71"/>
      <c r="P564" s="46"/>
      <c r="Q564" s="46"/>
      <c r="R564" s="46"/>
      <c r="S564" s="46"/>
      <c r="T564" s="46"/>
      <c r="U564" s="50"/>
      <c r="V564" s="46"/>
    </row>
    <row r="565" spans="2:22" s="27" customFormat="1">
      <c r="B565" s="18"/>
      <c r="C565" s="18"/>
      <c r="D565" s="18"/>
      <c r="E565" s="18"/>
      <c r="F565" s="18"/>
      <c r="G565" s="18"/>
      <c r="H565" s="18"/>
      <c r="I565" s="71"/>
      <c r="J565" s="71"/>
      <c r="K565" s="71"/>
      <c r="L565" s="71"/>
      <c r="M565" s="71"/>
      <c r="N565" s="71"/>
      <c r="O565" s="71"/>
      <c r="P565" s="46"/>
      <c r="Q565" s="46"/>
      <c r="R565" s="46"/>
      <c r="S565" s="46"/>
      <c r="T565" s="46"/>
      <c r="U565" s="50"/>
      <c r="V565" s="46"/>
    </row>
    <row r="566" spans="2:22" s="27" customFormat="1">
      <c r="B566" s="18"/>
      <c r="C566" s="18"/>
      <c r="D566" s="18"/>
      <c r="E566" s="18"/>
      <c r="F566" s="18"/>
      <c r="G566" s="18"/>
      <c r="H566" s="18"/>
      <c r="I566" s="71"/>
      <c r="J566" s="71"/>
      <c r="K566" s="71"/>
      <c r="L566" s="71"/>
      <c r="M566" s="71"/>
      <c r="N566" s="71"/>
      <c r="O566" s="71"/>
      <c r="P566" s="46"/>
      <c r="Q566" s="46"/>
      <c r="R566" s="46"/>
      <c r="S566" s="46"/>
      <c r="T566" s="46"/>
      <c r="U566" s="50"/>
      <c r="V566" s="46"/>
    </row>
    <row r="567" spans="2:22" s="27" customFormat="1">
      <c r="B567" s="18"/>
      <c r="C567" s="18"/>
      <c r="D567" s="18"/>
      <c r="E567" s="18"/>
      <c r="F567" s="18"/>
      <c r="G567" s="18"/>
      <c r="H567" s="18"/>
      <c r="I567" s="71"/>
      <c r="J567" s="71"/>
      <c r="K567" s="71"/>
      <c r="L567" s="71"/>
      <c r="M567" s="71"/>
      <c r="N567" s="71"/>
      <c r="O567" s="71"/>
      <c r="P567" s="46"/>
      <c r="Q567" s="46"/>
      <c r="R567" s="46"/>
      <c r="S567" s="46"/>
      <c r="T567" s="46"/>
      <c r="U567" s="50"/>
      <c r="V567" s="46"/>
    </row>
    <row r="568" spans="2:22" s="27" customFormat="1">
      <c r="B568" s="18"/>
      <c r="C568" s="18"/>
      <c r="D568" s="18"/>
      <c r="E568" s="18"/>
      <c r="F568" s="18"/>
      <c r="G568" s="18"/>
      <c r="H568" s="18"/>
      <c r="I568" s="71"/>
      <c r="J568" s="71"/>
      <c r="K568" s="71"/>
      <c r="L568" s="71"/>
      <c r="M568" s="71"/>
      <c r="N568" s="71"/>
      <c r="O568" s="71"/>
      <c r="P568" s="46"/>
      <c r="Q568" s="46"/>
      <c r="R568" s="46"/>
      <c r="S568" s="46"/>
      <c r="T568" s="46"/>
      <c r="U568" s="50"/>
      <c r="V568" s="46"/>
    </row>
    <row r="569" spans="2:22" s="27" customFormat="1">
      <c r="B569" s="18"/>
      <c r="C569" s="18"/>
      <c r="D569" s="18"/>
      <c r="E569" s="18"/>
      <c r="F569" s="18"/>
      <c r="G569" s="18"/>
      <c r="H569" s="18"/>
      <c r="I569" s="71"/>
      <c r="J569" s="71"/>
      <c r="K569" s="71"/>
      <c r="L569" s="71"/>
      <c r="M569" s="71"/>
      <c r="N569" s="71"/>
      <c r="O569" s="71"/>
      <c r="P569" s="46"/>
      <c r="Q569" s="46"/>
      <c r="R569" s="46"/>
      <c r="S569" s="46"/>
      <c r="T569" s="46"/>
      <c r="U569" s="50"/>
      <c r="V569" s="46"/>
    </row>
    <row r="570" spans="2:22" s="27" customFormat="1">
      <c r="B570" s="18"/>
      <c r="C570" s="18"/>
      <c r="D570" s="18"/>
      <c r="E570" s="18"/>
      <c r="F570" s="18"/>
      <c r="G570" s="18"/>
      <c r="H570" s="18"/>
      <c r="I570" s="71"/>
      <c r="J570" s="71"/>
      <c r="K570" s="71"/>
      <c r="L570" s="71"/>
      <c r="M570" s="71"/>
      <c r="N570" s="71"/>
      <c r="O570" s="71"/>
      <c r="P570" s="46"/>
      <c r="Q570" s="46"/>
      <c r="R570" s="46"/>
      <c r="S570" s="46"/>
      <c r="T570" s="46"/>
      <c r="U570" s="50"/>
      <c r="V570" s="46"/>
    </row>
    <row r="571" spans="2:22" s="27" customFormat="1">
      <c r="B571" s="18"/>
      <c r="C571" s="18"/>
      <c r="D571" s="18"/>
      <c r="E571" s="18"/>
      <c r="F571" s="18"/>
      <c r="G571" s="18"/>
      <c r="H571" s="18"/>
      <c r="I571" s="71"/>
      <c r="J571" s="71"/>
      <c r="K571" s="71"/>
      <c r="L571" s="71"/>
      <c r="M571" s="71"/>
      <c r="N571" s="71"/>
      <c r="O571" s="71"/>
      <c r="P571" s="46"/>
      <c r="Q571" s="46"/>
      <c r="R571" s="46"/>
      <c r="S571" s="46"/>
      <c r="T571" s="46"/>
      <c r="U571" s="50"/>
      <c r="V571" s="46"/>
    </row>
    <row r="572" spans="2:22" s="27" customFormat="1">
      <c r="B572" s="18"/>
      <c r="C572" s="18"/>
      <c r="D572" s="18"/>
      <c r="E572" s="18"/>
      <c r="F572" s="18"/>
      <c r="G572" s="18"/>
      <c r="H572" s="18"/>
      <c r="I572" s="71"/>
      <c r="J572" s="71"/>
      <c r="K572" s="71"/>
      <c r="L572" s="71"/>
      <c r="M572" s="71"/>
      <c r="N572" s="71"/>
      <c r="O572" s="71"/>
      <c r="P572" s="46"/>
      <c r="Q572" s="46"/>
      <c r="R572" s="46"/>
      <c r="S572" s="46"/>
      <c r="T572" s="46"/>
      <c r="U572" s="50"/>
      <c r="V572" s="46"/>
    </row>
    <row r="573" spans="2:22" s="27" customFormat="1">
      <c r="B573" s="18"/>
      <c r="C573" s="18"/>
      <c r="D573" s="18"/>
      <c r="E573" s="18"/>
      <c r="F573" s="18"/>
      <c r="G573" s="18"/>
      <c r="H573" s="18"/>
      <c r="I573" s="71"/>
      <c r="J573" s="71"/>
      <c r="K573" s="71"/>
      <c r="L573" s="71"/>
      <c r="M573" s="71"/>
      <c r="N573" s="71"/>
      <c r="O573" s="71"/>
      <c r="P573" s="46"/>
      <c r="Q573" s="46"/>
      <c r="R573" s="46"/>
      <c r="S573" s="46"/>
      <c r="T573" s="46"/>
      <c r="U573" s="50"/>
      <c r="V573" s="46"/>
    </row>
    <row r="574" spans="2:22" s="27" customFormat="1">
      <c r="B574" s="18"/>
      <c r="C574" s="18"/>
      <c r="D574" s="18"/>
      <c r="E574" s="18"/>
      <c r="F574" s="18"/>
      <c r="G574" s="18"/>
      <c r="H574" s="18"/>
      <c r="I574" s="71"/>
      <c r="J574" s="71"/>
      <c r="K574" s="71"/>
      <c r="L574" s="71"/>
      <c r="M574" s="71"/>
      <c r="N574" s="71"/>
      <c r="O574" s="71"/>
      <c r="P574" s="46"/>
      <c r="Q574" s="46"/>
      <c r="R574" s="46"/>
      <c r="S574" s="46"/>
      <c r="T574" s="46"/>
      <c r="U574" s="50"/>
      <c r="V574" s="46"/>
    </row>
    <row r="575" spans="2:22" s="27" customFormat="1">
      <c r="B575" s="18"/>
      <c r="C575" s="18"/>
      <c r="D575" s="18"/>
      <c r="E575" s="18"/>
      <c r="F575" s="18"/>
      <c r="G575" s="18"/>
      <c r="H575" s="18"/>
      <c r="I575" s="71"/>
      <c r="J575" s="71"/>
      <c r="K575" s="71"/>
      <c r="L575" s="71"/>
      <c r="M575" s="71"/>
      <c r="N575" s="71"/>
      <c r="O575" s="71"/>
      <c r="P575" s="46"/>
      <c r="Q575" s="46"/>
      <c r="R575" s="46"/>
      <c r="S575" s="46"/>
      <c r="T575" s="46"/>
      <c r="U575" s="50"/>
      <c r="V575" s="46"/>
    </row>
    <row r="576" spans="2:22" s="27" customFormat="1">
      <c r="B576" s="18"/>
      <c r="C576" s="18"/>
      <c r="D576" s="18"/>
      <c r="E576" s="18"/>
      <c r="F576" s="18"/>
      <c r="G576" s="18"/>
      <c r="H576" s="18"/>
      <c r="I576" s="71"/>
      <c r="J576" s="71"/>
      <c r="K576" s="71"/>
      <c r="L576" s="71"/>
      <c r="M576" s="71"/>
      <c r="N576" s="71"/>
      <c r="O576" s="71"/>
      <c r="P576" s="46"/>
      <c r="Q576" s="46"/>
      <c r="R576" s="46"/>
      <c r="S576" s="46"/>
      <c r="T576" s="46"/>
      <c r="U576" s="50"/>
      <c r="V576" s="46"/>
    </row>
    <row r="577" spans="2:22" s="27" customFormat="1">
      <c r="B577" s="18"/>
      <c r="C577" s="18"/>
      <c r="D577" s="18"/>
      <c r="E577" s="18"/>
      <c r="F577" s="18"/>
      <c r="G577" s="18"/>
      <c r="H577" s="18"/>
      <c r="I577" s="71"/>
      <c r="J577" s="71"/>
      <c r="K577" s="71"/>
      <c r="L577" s="71"/>
      <c r="M577" s="71"/>
      <c r="N577" s="71"/>
      <c r="O577" s="71"/>
      <c r="P577" s="46"/>
      <c r="Q577" s="46"/>
      <c r="R577" s="46"/>
      <c r="S577" s="46"/>
      <c r="T577" s="46"/>
      <c r="U577" s="50"/>
      <c r="V577" s="46"/>
    </row>
    <row r="578" spans="2:22" s="27" customFormat="1">
      <c r="B578" s="18"/>
      <c r="C578" s="18"/>
      <c r="D578" s="18"/>
      <c r="E578" s="18"/>
      <c r="F578" s="18"/>
      <c r="G578" s="18"/>
      <c r="H578" s="18"/>
      <c r="I578" s="71"/>
      <c r="J578" s="71"/>
      <c r="K578" s="71"/>
      <c r="L578" s="71"/>
      <c r="M578" s="71"/>
      <c r="N578" s="71"/>
      <c r="O578" s="71"/>
      <c r="P578" s="46"/>
      <c r="Q578" s="46"/>
      <c r="R578" s="46"/>
      <c r="S578" s="46"/>
      <c r="T578" s="46"/>
      <c r="U578" s="50"/>
      <c r="V578" s="46"/>
    </row>
    <row r="579" spans="2:22" s="27" customFormat="1">
      <c r="B579" s="18"/>
      <c r="C579" s="18"/>
      <c r="D579" s="18"/>
      <c r="E579" s="18"/>
      <c r="F579" s="18"/>
      <c r="G579" s="18"/>
      <c r="H579" s="18"/>
      <c r="I579" s="71"/>
      <c r="J579" s="71"/>
      <c r="K579" s="71"/>
      <c r="L579" s="71"/>
      <c r="M579" s="71"/>
      <c r="N579" s="71"/>
      <c r="O579" s="71"/>
      <c r="P579" s="46"/>
      <c r="Q579" s="46"/>
      <c r="R579" s="46"/>
      <c r="S579" s="46"/>
      <c r="T579" s="46"/>
      <c r="U579" s="50"/>
      <c r="V579" s="46"/>
    </row>
    <row r="580" spans="2:22" s="27" customFormat="1">
      <c r="B580" s="18"/>
      <c r="C580" s="18"/>
      <c r="D580" s="18"/>
      <c r="E580" s="18"/>
      <c r="F580" s="18"/>
      <c r="G580" s="18"/>
      <c r="H580" s="18"/>
      <c r="I580" s="71"/>
      <c r="J580" s="71"/>
      <c r="K580" s="71"/>
      <c r="L580" s="71"/>
      <c r="M580" s="71"/>
      <c r="N580" s="71"/>
      <c r="O580" s="71"/>
      <c r="P580" s="46"/>
      <c r="Q580" s="46"/>
      <c r="R580" s="46"/>
      <c r="S580" s="46"/>
      <c r="T580" s="46"/>
      <c r="U580" s="50"/>
      <c r="V580" s="46"/>
    </row>
    <row r="581" spans="2:22" s="27" customFormat="1">
      <c r="B581" s="18"/>
      <c r="C581" s="18"/>
      <c r="D581" s="18"/>
      <c r="E581" s="18"/>
      <c r="F581" s="18"/>
      <c r="G581" s="18"/>
      <c r="H581" s="18"/>
      <c r="I581" s="71"/>
      <c r="J581" s="71"/>
      <c r="K581" s="71"/>
      <c r="L581" s="71"/>
      <c r="M581" s="71"/>
      <c r="N581" s="71"/>
      <c r="O581" s="71"/>
      <c r="P581" s="46"/>
      <c r="Q581" s="46"/>
      <c r="R581" s="46"/>
      <c r="S581" s="46"/>
      <c r="T581" s="46"/>
      <c r="U581" s="50"/>
      <c r="V581" s="46"/>
    </row>
    <row r="582" spans="2:22" s="27" customFormat="1">
      <c r="B582" s="18"/>
      <c r="C582" s="18"/>
      <c r="D582" s="18"/>
      <c r="E582" s="18"/>
      <c r="F582" s="18"/>
      <c r="G582" s="18"/>
      <c r="H582" s="18"/>
      <c r="I582" s="71"/>
      <c r="J582" s="71"/>
      <c r="K582" s="71"/>
      <c r="L582" s="71"/>
      <c r="M582" s="71"/>
      <c r="N582" s="71"/>
      <c r="O582" s="71"/>
      <c r="P582" s="46"/>
      <c r="Q582" s="46"/>
      <c r="R582" s="46"/>
      <c r="S582" s="46"/>
      <c r="T582" s="46"/>
      <c r="U582" s="50"/>
      <c r="V582" s="46"/>
    </row>
    <row r="583" spans="2:22" s="27" customFormat="1">
      <c r="B583" s="18"/>
      <c r="C583" s="18"/>
      <c r="D583" s="18"/>
      <c r="E583" s="18"/>
      <c r="F583" s="18"/>
      <c r="G583" s="18"/>
      <c r="H583" s="18"/>
      <c r="I583" s="71"/>
      <c r="J583" s="71"/>
      <c r="K583" s="71"/>
      <c r="L583" s="71"/>
      <c r="M583" s="71"/>
      <c r="N583" s="71"/>
      <c r="O583" s="71"/>
      <c r="P583" s="46"/>
      <c r="Q583" s="46"/>
      <c r="R583" s="46"/>
      <c r="S583" s="46"/>
      <c r="T583" s="46"/>
      <c r="U583" s="50"/>
      <c r="V583" s="46"/>
    </row>
    <row r="584" spans="2:22" s="27" customFormat="1">
      <c r="B584" s="18"/>
      <c r="C584" s="18"/>
      <c r="D584" s="18"/>
      <c r="E584" s="18"/>
      <c r="F584" s="18"/>
      <c r="G584" s="18"/>
      <c r="H584" s="18"/>
      <c r="I584" s="71"/>
      <c r="J584" s="71"/>
      <c r="K584" s="71"/>
      <c r="L584" s="71"/>
      <c r="M584" s="71"/>
      <c r="N584" s="71"/>
      <c r="O584" s="71"/>
      <c r="P584" s="46"/>
      <c r="Q584" s="46"/>
      <c r="R584" s="46"/>
      <c r="S584" s="46"/>
      <c r="T584" s="46"/>
      <c r="U584" s="50"/>
      <c r="V584" s="46"/>
    </row>
    <row r="585" spans="2:22" s="27" customFormat="1">
      <c r="B585" s="18"/>
      <c r="C585" s="18"/>
      <c r="D585" s="18"/>
      <c r="E585" s="18"/>
      <c r="F585" s="18"/>
      <c r="G585" s="18"/>
      <c r="H585" s="18"/>
      <c r="I585" s="71"/>
      <c r="J585" s="71"/>
      <c r="K585" s="71"/>
      <c r="L585" s="71"/>
      <c r="M585" s="71"/>
      <c r="N585" s="71"/>
      <c r="O585" s="71"/>
      <c r="P585" s="46"/>
      <c r="Q585" s="46"/>
      <c r="R585" s="46"/>
      <c r="S585" s="46"/>
      <c r="T585" s="46"/>
      <c r="U585" s="50"/>
      <c r="V585" s="46"/>
    </row>
    <row r="586" spans="2:22" s="27" customFormat="1">
      <c r="B586" s="18"/>
      <c r="C586" s="18"/>
      <c r="D586" s="18"/>
      <c r="E586" s="18"/>
      <c r="F586" s="18"/>
      <c r="G586" s="18"/>
      <c r="H586" s="18"/>
      <c r="I586" s="71"/>
      <c r="J586" s="71"/>
      <c r="K586" s="71"/>
      <c r="L586" s="71"/>
      <c r="M586" s="71"/>
      <c r="N586" s="71"/>
      <c r="O586" s="71"/>
      <c r="P586" s="46"/>
      <c r="Q586" s="46"/>
      <c r="R586" s="46"/>
      <c r="S586" s="46"/>
      <c r="T586" s="46"/>
      <c r="U586" s="50"/>
      <c r="V586" s="46"/>
    </row>
    <row r="587" spans="2:22" s="27" customFormat="1">
      <c r="B587" s="18"/>
      <c r="C587" s="18"/>
      <c r="D587" s="18"/>
      <c r="E587" s="18"/>
      <c r="F587" s="18"/>
      <c r="G587" s="18"/>
      <c r="H587" s="18"/>
      <c r="I587" s="71"/>
      <c r="J587" s="71"/>
      <c r="K587" s="71"/>
      <c r="L587" s="71"/>
      <c r="M587" s="71"/>
      <c r="N587" s="71"/>
      <c r="O587" s="71"/>
      <c r="P587" s="46"/>
      <c r="Q587" s="46"/>
      <c r="R587" s="46"/>
      <c r="S587" s="46"/>
      <c r="T587" s="46"/>
      <c r="U587" s="50"/>
      <c r="V587" s="46"/>
    </row>
    <row r="588" spans="2:22" s="27" customFormat="1">
      <c r="B588" s="18"/>
      <c r="C588" s="18"/>
      <c r="D588" s="18"/>
      <c r="E588" s="18"/>
      <c r="F588" s="18"/>
      <c r="G588" s="18"/>
      <c r="H588" s="18"/>
      <c r="I588" s="71"/>
      <c r="J588" s="71"/>
      <c r="K588" s="71"/>
      <c r="L588" s="71"/>
      <c r="M588" s="71"/>
      <c r="N588" s="71"/>
      <c r="O588" s="71"/>
      <c r="P588" s="46"/>
      <c r="Q588" s="46"/>
      <c r="R588" s="46"/>
      <c r="S588" s="46"/>
      <c r="T588" s="46"/>
      <c r="U588" s="50"/>
      <c r="V588" s="46"/>
    </row>
    <row r="589" spans="2:22" s="27" customFormat="1">
      <c r="B589" s="18"/>
      <c r="C589" s="18"/>
      <c r="D589" s="18"/>
      <c r="E589" s="18"/>
      <c r="F589" s="18"/>
      <c r="G589" s="18"/>
      <c r="H589" s="18"/>
      <c r="I589" s="71"/>
      <c r="J589" s="71"/>
      <c r="K589" s="71"/>
      <c r="L589" s="71"/>
      <c r="M589" s="71"/>
      <c r="N589" s="71"/>
      <c r="O589" s="71"/>
      <c r="P589" s="46"/>
      <c r="Q589" s="46"/>
      <c r="R589" s="46"/>
      <c r="S589" s="46"/>
      <c r="T589" s="46"/>
      <c r="U589" s="50"/>
      <c r="V589" s="46"/>
    </row>
    <row r="590" spans="2:22" s="27" customFormat="1">
      <c r="B590" s="18"/>
      <c r="C590" s="18"/>
      <c r="D590" s="18"/>
      <c r="E590" s="18"/>
      <c r="F590" s="18"/>
      <c r="G590" s="18"/>
      <c r="H590" s="18"/>
      <c r="I590" s="71"/>
      <c r="J590" s="71"/>
      <c r="K590" s="71"/>
      <c r="L590" s="71"/>
      <c r="M590" s="71"/>
      <c r="N590" s="71"/>
      <c r="O590" s="71"/>
      <c r="P590" s="46"/>
      <c r="Q590" s="46"/>
      <c r="R590" s="46"/>
      <c r="S590" s="46"/>
      <c r="T590" s="46"/>
      <c r="U590" s="50"/>
      <c r="V590" s="46"/>
    </row>
    <row r="591" spans="2:22" s="27" customFormat="1">
      <c r="B591" s="18"/>
      <c r="C591" s="18"/>
      <c r="D591" s="18"/>
      <c r="E591" s="18"/>
      <c r="F591" s="18"/>
      <c r="G591" s="18"/>
      <c r="H591" s="18"/>
      <c r="I591" s="71"/>
      <c r="J591" s="71"/>
      <c r="K591" s="71"/>
      <c r="L591" s="71"/>
      <c r="M591" s="71"/>
      <c r="N591" s="71"/>
      <c r="O591" s="71"/>
      <c r="P591" s="46"/>
      <c r="Q591" s="46"/>
      <c r="R591" s="46"/>
      <c r="S591" s="46"/>
      <c r="T591" s="46"/>
      <c r="U591" s="50"/>
      <c r="V591" s="46"/>
    </row>
    <row r="592" spans="2:22" s="27" customFormat="1">
      <c r="B592" s="18"/>
      <c r="C592" s="18"/>
      <c r="D592" s="18"/>
      <c r="E592" s="18"/>
      <c r="F592" s="18"/>
      <c r="G592" s="18"/>
      <c r="H592" s="18"/>
      <c r="I592" s="71"/>
      <c r="J592" s="71"/>
      <c r="K592" s="71"/>
      <c r="L592" s="71"/>
      <c r="M592" s="71"/>
      <c r="N592" s="71"/>
      <c r="O592" s="71"/>
      <c r="P592" s="46"/>
      <c r="Q592" s="46"/>
      <c r="R592" s="46"/>
      <c r="S592" s="46"/>
      <c r="T592" s="46"/>
      <c r="U592" s="50"/>
      <c r="V592" s="46"/>
    </row>
    <row r="593" spans="2:22" s="27" customFormat="1">
      <c r="B593" s="18"/>
      <c r="C593" s="18"/>
      <c r="D593" s="18"/>
      <c r="E593" s="18"/>
      <c r="F593" s="18"/>
      <c r="G593" s="18"/>
      <c r="H593" s="18"/>
      <c r="I593" s="71"/>
      <c r="J593" s="71"/>
      <c r="K593" s="71"/>
      <c r="L593" s="71"/>
      <c r="M593" s="71"/>
      <c r="N593" s="71"/>
      <c r="O593" s="71"/>
      <c r="P593" s="46"/>
      <c r="Q593" s="46"/>
      <c r="R593" s="46"/>
      <c r="S593" s="46"/>
      <c r="T593" s="46"/>
      <c r="U593" s="50"/>
      <c r="V593" s="46"/>
    </row>
    <row r="594" spans="2:22" s="27" customFormat="1">
      <c r="B594" s="18"/>
      <c r="C594" s="18"/>
      <c r="D594" s="18"/>
      <c r="E594" s="18"/>
      <c r="F594" s="18"/>
      <c r="G594" s="18"/>
      <c r="H594" s="18"/>
      <c r="I594" s="71"/>
      <c r="J594" s="71"/>
      <c r="K594" s="71"/>
      <c r="L594" s="71"/>
      <c r="M594" s="71"/>
      <c r="N594" s="71"/>
      <c r="O594" s="71"/>
      <c r="P594" s="46"/>
      <c r="Q594" s="46"/>
      <c r="R594" s="46"/>
      <c r="S594" s="46"/>
      <c r="T594" s="46"/>
      <c r="U594" s="50"/>
      <c r="V594" s="46"/>
    </row>
    <row r="595" spans="2:22" s="27" customFormat="1">
      <c r="B595" s="18"/>
      <c r="C595" s="18"/>
      <c r="D595" s="18"/>
      <c r="E595" s="18"/>
      <c r="F595" s="18"/>
      <c r="G595" s="18"/>
      <c r="H595" s="18"/>
      <c r="I595" s="71"/>
      <c r="J595" s="71"/>
      <c r="K595" s="71"/>
      <c r="L595" s="71"/>
      <c r="M595" s="71"/>
      <c r="N595" s="71"/>
      <c r="O595" s="71"/>
      <c r="P595" s="46"/>
      <c r="Q595" s="46"/>
      <c r="R595" s="46"/>
      <c r="S595" s="46"/>
      <c r="T595" s="46"/>
      <c r="U595" s="50"/>
      <c r="V595" s="46"/>
    </row>
    <row r="596" spans="2:22" s="27" customFormat="1">
      <c r="B596" s="18"/>
      <c r="C596" s="18"/>
      <c r="D596" s="18"/>
      <c r="E596" s="18"/>
      <c r="F596" s="18"/>
      <c r="G596" s="18"/>
      <c r="H596" s="18"/>
      <c r="I596" s="71"/>
      <c r="J596" s="71"/>
      <c r="K596" s="71"/>
      <c r="L596" s="71"/>
      <c r="M596" s="71"/>
      <c r="N596" s="71"/>
      <c r="O596" s="71"/>
      <c r="P596" s="46"/>
      <c r="Q596" s="46"/>
      <c r="R596" s="46"/>
      <c r="S596" s="46"/>
      <c r="T596" s="46"/>
      <c r="U596" s="50"/>
      <c r="V596" s="46"/>
    </row>
    <row r="597" spans="2:22" s="27" customFormat="1">
      <c r="B597" s="18"/>
      <c r="C597" s="18"/>
      <c r="D597" s="18"/>
      <c r="E597" s="18"/>
      <c r="F597" s="18"/>
      <c r="G597" s="18"/>
      <c r="H597" s="18"/>
      <c r="I597" s="71"/>
      <c r="J597" s="71"/>
      <c r="K597" s="71"/>
      <c r="L597" s="71"/>
      <c r="M597" s="71"/>
      <c r="N597" s="71"/>
      <c r="O597" s="71"/>
      <c r="P597" s="46"/>
      <c r="Q597" s="46"/>
      <c r="R597" s="46"/>
      <c r="S597" s="46"/>
      <c r="T597" s="46"/>
      <c r="U597" s="50"/>
      <c r="V597" s="46"/>
    </row>
    <row r="598" spans="2:22" s="27" customFormat="1">
      <c r="B598" s="18"/>
      <c r="C598" s="18"/>
      <c r="D598" s="18"/>
      <c r="E598" s="18"/>
      <c r="F598" s="18"/>
      <c r="G598" s="18"/>
      <c r="H598" s="18"/>
      <c r="I598" s="71"/>
      <c r="J598" s="71"/>
      <c r="K598" s="71"/>
      <c r="L598" s="71"/>
      <c r="M598" s="71"/>
      <c r="N598" s="71"/>
      <c r="O598" s="71"/>
      <c r="P598" s="46"/>
      <c r="Q598" s="46"/>
      <c r="R598" s="46"/>
      <c r="S598" s="46"/>
      <c r="T598" s="46"/>
      <c r="U598" s="50"/>
      <c r="V598" s="46"/>
    </row>
    <row r="599" spans="2:22" s="27" customFormat="1">
      <c r="B599" s="18"/>
      <c r="C599" s="18"/>
      <c r="D599" s="18"/>
      <c r="E599" s="18"/>
      <c r="F599" s="18"/>
      <c r="G599" s="18"/>
      <c r="H599" s="18"/>
      <c r="I599" s="71"/>
      <c r="J599" s="71"/>
      <c r="K599" s="71"/>
      <c r="L599" s="71"/>
      <c r="M599" s="71"/>
      <c r="N599" s="71"/>
      <c r="O599" s="71"/>
      <c r="P599" s="46"/>
      <c r="Q599" s="46"/>
      <c r="R599" s="46"/>
      <c r="S599" s="46"/>
      <c r="T599" s="46"/>
      <c r="U599" s="50"/>
      <c r="V599" s="46"/>
    </row>
    <row r="600" spans="2:22" s="27" customFormat="1">
      <c r="B600" s="18"/>
      <c r="C600" s="18"/>
      <c r="D600" s="18"/>
      <c r="E600" s="18"/>
      <c r="F600" s="18"/>
      <c r="G600" s="18"/>
      <c r="H600" s="18"/>
      <c r="I600" s="71"/>
      <c r="J600" s="71"/>
      <c r="K600" s="71"/>
      <c r="L600" s="71"/>
      <c r="M600" s="71"/>
      <c r="N600" s="71"/>
      <c r="O600" s="71"/>
      <c r="P600" s="46"/>
      <c r="Q600" s="46"/>
      <c r="R600" s="46"/>
      <c r="S600" s="46"/>
      <c r="T600" s="46"/>
      <c r="U600" s="50"/>
      <c r="V600" s="46"/>
    </row>
    <row r="601" spans="2:22" s="27" customFormat="1">
      <c r="B601" s="18"/>
      <c r="C601" s="18"/>
      <c r="D601" s="18"/>
      <c r="E601" s="18"/>
      <c r="F601" s="18"/>
      <c r="G601" s="18"/>
      <c r="H601" s="18"/>
      <c r="I601" s="71"/>
      <c r="J601" s="71"/>
      <c r="K601" s="71"/>
      <c r="L601" s="71"/>
      <c r="M601" s="71"/>
      <c r="N601" s="71"/>
      <c r="O601" s="71"/>
      <c r="P601" s="46"/>
      <c r="Q601" s="46"/>
      <c r="R601" s="46"/>
      <c r="S601" s="46"/>
      <c r="T601" s="46"/>
      <c r="U601" s="50"/>
      <c r="V601" s="46"/>
    </row>
    <row r="602" spans="2:22" s="27" customFormat="1">
      <c r="B602" s="18"/>
      <c r="C602" s="18"/>
      <c r="D602" s="18"/>
      <c r="E602" s="18"/>
      <c r="F602" s="18"/>
      <c r="G602" s="18"/>
      <c r="H602" s="18"/>
      <c r="I602" s="71"/>
      <c r="J602" s="71"/>
      <c r="K602" s="71"/>
      <c r="L602" s="71"/>
      <c r="M602" s="71"/>
      <c r="N602" s="71"/>
      <c r="O602" s="71"/>
      <c r="P602" s="46"/>
      <c r="Q602" s="46"/>
      <c r="R602" s="46"/>
      <c r="S602" s="46"/>
      <c r="T602" s="46"/>
      <c r="U602" s="50"/>
      <c r="V602" s="46"/>
    </row>
    <row r="603" spans="2:22" s="27" customFormat="1">
      <c r="B603" s="18"/>
      <c r="C603" s="18"/>
      <c r="D603" s="18"/>
      <c r="E603" s="18"/>
      <c r="F603" s="18"/>
      <c r="G603" s="18"/>
      <c r="H603" s="18"/>
      <c r="I603" s="71"/>
      <c r="J603" s="71"/>
      <c r="K603" s="71"/>
      <c r="L603" s="71"/>
      <c r="M603" s="71"/>
      <c r="N603" s="71"/>
      <c r="O603" s="71"/>
      <c r="P603" s="46"/>
      <c r="Q603" s="46"/>
      <c r="R603" s="46"/>
      <c r="S603" s="46"/>
      <c r="T603" s="46"/>
      <c r="U603" s="50"/>
      <c r="V603" s="46"/>
    </row>
    <row r="604" spans="2:22" s="27" customFormat="1">
      <c r="B604" s="18"/>
      <c r="C604" s="18"/>
      <c r="D604" s="18"/>
      <c r="E604" s="18"/>
      <c r="F604" s="18"/>
      <c r="G604" s="18"/>
      <c r="H604" s="18"/>
      <c r="I604" s="71"/>
      <c r="J604" s="71"/>
      <c r="K604" s="71"/>
      <c r="L604" s="71"/>
      <c r="M604" s="71"/>
      <c r="N604" s="71"/>
      <c r="O604" s="71"/>
      <c r="P604" s="46"/>
      <c r="Q604" s="46"/>
      <c r="R604" s="46"/>
      <c r="S604" s="46"/>
      <c r="T604" s="46"/>
      <c r="U604" s="50"/>
      <c r="V604" s="46"/>
    </row>
    <row r="605" spans="2:22" s="27" customFormat="1">
      <c r="B605" s="18"/>
      <c r="C605" s="18"/>
      <c r="D605" s="18"/>
      <c r="E605" s="18"/>
      <c r="F605" s="18"/>
      <c r="G605" s="18"/>
      <c r="H605" s="18"/>
      <c r="I605" s="71"/>
      <c r="J605" s="71"/>
      <c r="K605" s="71"/>
      <c r="L605" s="71"/>
      <c r="M605" s="71"/>
      <c r="N605" s="71"/>
      <c r="O605" s="71"/>
      <c r="P605" s="46"/>
      <c r="Q605" s="46"/>
      <c r="R605" s="46"/>
      <c r="S605" s="46"/>
      <c r="T605" s="46"/>
      <c r="U605" s="50"/>
      <c r="V605" s="46"/>
    </row>
    <row r="606" spans="2:22" s="27" customFormat="1">
      <c r="B606" s="18"/>
      <c r="C606" s="18"/>
      <c r="D606" s="18"/>
      <c r="E606" s="18"/>
      <c r="F606" s="18"/>
      <c r="G606" s="18"/>
      <c r="H606" s="18"/>
      <c r="I606" s="71"/>
      <c r="J606" s="71"/>
      <c r="K606" s="71"/>
      <c r="L606" s="71"/>
      <c r="M606" s="71"/>
      <c r="N606" s="71"/>
      <c r="O606" s="71"/>
      <c r="P606" s="46"/>
      <c r="Q606" s="46"/>
      <c r="R606" s="46"/>
      <c r="S606" s="46"/>
      <c r="T606" s="46"/>
      <c r="U606" s="50"/>
      <c r="V606" s="46"/>
    </row>
    <row r="607" spans="2:22" s="27" customFormat="1">
      <c r="B607" s="18"/>
      <c r="C607" s="18"/>
      <c r="D607" s="18"/>
      <c r="E607" s="18"/>
      <c r="F607" s="18"/>
      <c r="G607" s="18"/>
      <c r="H607" s="18"/>
      <c r="I607" s="71"/>
      <c r="J607" s="71"/>
      <c r="K607" s="71"/>
      <c r="L607" s="71"/>
      <c r="M607" s="71"/>
      <c r="N607" s="71"/>
      <c r="O607" s="71"/>
      <c r="P607" s="46"/>
      <c r="Q607" s="46"/>
      <c r="R607" s="46"/>
      <c r="S607" s="46"/>
      <c r="T607" s="46"/>
      <c r="U607" s="50"/>
      <c r="V607" s="46"/>
    </row>
    <row r="608" spans="2:22" s="27" customFormat="1">
      <c r="B608" s="18"/>
      <c r="C608" s="18"/>
      <c r="D608" s="18"/>
      <c r="E608" s="18"/>
      <c r="F608" s="18"/>
      <c r="G608" s="18"/>
      <c r="H608" s="18"/>
      <c r="I608" s="71"/>
      <c r="J608" s="71"/>
      <c r="K608" s="71"/>
      <c r="L608" s="71"/>
      <c r="M608" s="71"/>
      <c r="N608" s="71"/>
      <c r="O608" s="71"/>
      <c r="P608" s="46"/>
      <c r="Q608" s="46"/>
      <c r="R608" s="46"/>
      <c r="S608" s="46"/>
      <c r="T608" s="46"/>
      <c r="U608" s="50"/>
      <c r="V608" s="46"/>
    </row>
    <row r="609" spans="2:22" s="27" customFormat="1">
      <c r="B609" s="18"/>
      <c r="C609" s="18"/>
      <c r="D609" s="18"/>
      <c r="E609" s="18"/>
      <c r="F609" s="18"/>
      <c r="G609" s="18"/>
      <c r="H609" s="18"/>
      <c r="I609" s="71"/>
      <c r="J609" s="71"/>
      <c r="K609" s="71"/>
      <c r="L609" s="71"/>
      <c r="M609" s="71"/>
      <c r="N609" s="71"/>
      <c r="O609" s="71"/>
      <c r="P609" s="46"/>
      <c r="Q609" s="46"/>
      <c r="R609" s="46"/>
      <c r="S609" s="46"/>
      <c r="T609" s="46"/>
      <c r="U609" s="50"/>
      <c r="V609" s="46"/>
    </row>
    <row r="610" spans="2:22" s="27" customFormat="1">
      <c r="B610" s="18"/>
      <c r="C610" s="18"/>
      <c r="D610" s="18"/>
      <c r="E610" s="18"/>
      <c r="F610" s="18"/>
      <c r="G610" s="18"/>
      <c r="H610" s="18"/>
      <c r="I610" s="71"/>
      <c r="J610" s="71"/>
      <c r="K610" s="71"/>
      <c r="L610" s="71"/>
      <c r="M610" s="71"/>
      <c r="N610" s="71"/>
      <c r="O610" s="71"/>
      <c r="P610" s="46"/>
      <c r="Q610" s="46"/>
      <c r="R610" s="46"/>
      <c r="S610" s="46"/>
      <c r="T610" s="46"/>
      <c r="U610" s="50"/>
      <c r="V610" s="46"/>
    </row>
    <row r="611" spans="2:22" s="27" customFormat="1">
      <c r="B611" s="18"/>
      <c r="C611" s="18"/>
      <c r="D611" s="18"/>
      <c r="E611" s="18"/>
      <c r="F611" s="18"/>
      <c r="G611" s="18"/>
      <c r="H611" s="18"/>
      <c r="I611" s="71"/>
      <c r="J611" s="71"/>
      <c r="K611" s="71"/>
      <c r="L611" s="71"/>
      <c r="M611" s="71"/>
      <c r="N611" s="71"/>
      <c r="O611" s="71"/>
      <c r="P611" s="46"/>
      <c r="Q611" s="46"/>
      <c r="R611" s="46"/>
      <c r="S611" s="46"/>
      <c r="T611" s="46"/>
      <c r="U611" s="50"/>
      <c r="V611" s="46"/>
    </row>
    <row r="612" spans="2:22" s="27" customFormat="1">
      <c r="B612" s="18"/>
      <c r="C612" s="18"/>
      <c r="D612" s="18"/>
      <c r="E612" s="18"/>
      <c r="F612" s="18"/>
      <c r="G612" s="18"/>
      <c r="H612" s="18"/>
      <c r="I612" s="71"/>
      <c r="J612" s="71"/>
      <c r="K612" s="71"/>
      <c r="L612" s="71"/>
      <c r="M612" s="71"/>
      <c r="N612" s="71"/>
      <c r="O612" s="71"/>
      <c r="P612" s="46"/>
      <c r="Q612" s="46"/>
      <c r="R612" s="46"/>
      <c r="S612" s="46"/>
      <c r="T612" s="46"/>
      <c r="U612" s="50"/>
      <c r="V612" s="46"/>
    </row>
    <row r="613" spans="2:22" s="27" customFormat="1">
      <c r="B613" s="18"/>
      <c r="C613" s="18"/>
      <c r="D613" s="18"/>
      <c r="E613" s="18"/>
      <c r="F613" s="18"/>
      <c r="G613" s="18"/>
      <c r="H613" s="18"/>
      <c r="I613" s="71"/>
      <c r="J613" s="71"/>
      <c r="K613" s="71"/>
      <c r="L613" s="71"/>
      <c r="M613" s="71"/>
      <c r="N613" s="71"/>
      <c r="O613" s="71"/>
      <c r="P613" s="46"/>
      <c r="Q613" s="46"/>
      <c r="R613" s="46"/>
      <c r="S613" s="46"/>
      <c r="T613" s="46"/>
      <c r="U613" s="50"/>
      <c r="V613" s="46"/>
    </row>
    <row r="614" spans="2:22" s="27" customFormat="1">
      <c r="B614" s="18"/>
      <c r="C614" s="18"/>
      <c r="D614" s="18"/>
      <c r="E614" s="18"/>
      <c r="F614" s="18"/>
      <c r="G614" s="18"/>
      <c r="H614" s="18"/>
      <c r="I614" s="71"/>
      <c r="J614" s="71"/>
      <c r="K614" s="71"/>
      <c r="L614" s="71"/>
      <c r="M614" s="71"/>
      <c r="N614" s="71"/>
      <c r="O614" s="71"/>
      <c r="P614" s="46"/>
      <c r="Q614" s="46"/>
      <c r="R614" s="46"/>
      <c r="S614" s="46"/>
      <c r="T614" s="46"/>
      <c r="U614" s="50"/>
      <c r="V614" s="46"/>
    </row>
    <row r="615" spans="2:22" s="27" customFormat="1">
      <c r="B615" s="18"/>
      <c r="C615" s="18"/>
      <c r="D615" s="18"/>
      <c r="E615" s="18"/>
      <c r="F615" s="18"/>
      <c r="G615" s="18"/>
      <c r="H615" s="18"/>
      <c r="I615" s="71"/>
      <c r="J615" s="71"/>
      <c r="K615" s="71"/>
      <c r="L615" s="71"/>
      <c r="M615" s="71"/>
      <c r="N615" s="71"/>
      <c r="O615" s="71"/>
      <c r="P615" s="46"/>
      <c r="Q615" s="46"/>
      <c r="R615" s="46"/>
      <c r="S615" s="46"/>
      <c r="T615" s="46"/>
      <c r="U615" s="50"/>
      <c r="V615" s="46"/>
    </row>
    <row r="616" spans="2:22" s="27" customFormat="1">
      <c r="B616" s="18"/>
      <c r="C616" s="18"/>
      <c r="D616" s="18"/>
      <c r="E616" s="18"/>
      <c r="F616" s="18"/>
      <c r="G616" s="18"/>
      <c r="H616" s="18"/>
      <c r="I616" s="71"/>
      <c r="J616" s="71"/>
      <c r="K616" s="71"/>
      <c r="L616" s="71"/>
      <c r="M616" s="71"/>
      <c r="N616" s="71"/>
      <c r="O616" s="71"/>
      <c r="P616" s="46"/>
      <c r="Q616" s="46"/>
      <c r="R616" s="46"/>
      <c r="S616" s="46"/>
      <c r="T616" s="46"/>
      <c r="U616" s="50"/>
      <c r="V616" s="46"/>
    </row>
    <row r="617" spans="2:22" s="27" customFormat="1">
      <c r="B617" s="18"/>
      <c r="C617" s="18"/>
      <c r="D617" s="18"/>
      <c r="E617" s="18"/>
      <c r="F617" s="18"/>
      <c r="G617" s="18"/>
      <c r="H617" s="18"/>
      <c r="I617" s="71"/>
      <c r="J617" s="71"/>
      <c r="K617" s="71"/>
      <c r="L617" s="71"/>
      <c r="M617" s="71"/>
      <c r="N617" s="71"/>
      <c r="O617" s="71"/>
      <c r="P617" s="46"/>
      <c r="Q617" s="46"/>
      <c r="R617" s="46"/>
      <c r="S617" s="46"/>
      <c r="T617" s="46"/>
      <c r="U617" s="50"/>
      <c r="V617" s="46"/>
    </row>
    <row r="618" spans="2:22" s="27" customFormat="1">
      <c r="B618" s="18"/>
      <c r="C618" s="18"/>
      <c r="D618" s="18"/>
      <c r="E618" s="18"/>
      <c r="F618" s="18"/>
      <c r="G618" s="18"/>
      <c r="H618" s="18"/>
      <c r="I618" s="71"/>
      <c r="J618" s="71"/>
      <c r="K618" s="71"/>
      <c r="L618" s="71"/>
      <c r="M618" s="71"/>
      <c r="N618" s="71"/>
      <c r="O618" s="71"/>
      <c r="P618" s="46"/>
      <c r="Q618" s="46"/>
      <c r="R618" s="46"/>
      <c r="S618" s="46"/>
      <c r="T618" s="46"/>
      <c r="U618" s="50"/>
      <c r="V618" s="46"/>
    </row>
    <row r="619" spans="2:22" s="27" customFormat="1">
      <c r="B619" s="18"/>
      <c r="C619" s="18"/>
      <c r="D619" s="18"/>
      <c r="E619" s="18"/>
      <c r="F619" s="18"/>
      <c r="G619" s="18"/>
      <c r="H619" s="18"/>
      <c r="I619" s="71"/>
      <c r="J619" s="71"/>
      <c r="K619" s="71"/>
      <c r="L619" s="71"/>
      <c r="M619" s="71"/>
      <c r="N619" s="71"/>
      <c r="O619" s="71"/>
      <c r="P619" s="46"/>
      <c r="Q619" s="46"/>
      <c r="R619" s="46"/>
      <c r="S619" s="46"/>
      <c r="T619" s="46"/>
      <c r="U619" s="50"/>
      <c r="V619" s="46"/>
    </row>
    <row r="620" spans="2:22" s="27" customFormat="1">
      <c r="B620" s="18"/>
      <c r="C620" s="18"/>
      <c r="D620" s="18"/>
      <c r="E620" s="18"/>
      <c r="F620" s="18"/>
      <c r="G620" s="18"/>
      <c r="H620" s="18"/>
      <c r="I620" s="71"/>
      <c r="J620" s="71"/>
      <c r="K620" s="71"/>
      <c r="L620" s="71"/>
      <c r="M620" s="71"/>
      <c r="N620" s="71"/>
      <c r="O620" s="71"/>
      <c r="P620" s="46"/>
      <c r="Q620" s="46"/>
      <c r="R620" s="46"/>
      <c r="S620" s="46"/>
      <c r="T620" s="46"/>
      <c r="U620" s="50"/>
      <c r="V620" s="46"/>
    </row>
    <row r="621" spans="2:22" s="27" customFormat="1">
      <c r="B621" s="18"/>
      <c r="C621" s="18"/>
      <c r="D621" s="18"/>
      <c r="E621" s="18"/>
      <c r="F621" s="18"/>
      <c r="G621" s="18"/>
      <c r="H621" s="18"/>
      <c r="I621" s="71"/>
      <c r="J621" s="71"/>
      <c r="K621" s="71"/>
      <c r="L621" s="71"/>
      <c r="M621" s="71"/>
      <c r="N621" s="71"/>
      <c r="O621" s="71"/>
      <c r="P621" s="46"/>
      <c r="Q621" s="46"/>
      <c r="R621" s="46"/>
      <c r="S621" s="46"/>
      <c r="T621" s="46"/>
      <c r="U621" s="50"/>
      <c r="V621" s="46"/>
    </row>
    <row r="622" spans="2:22" s="27" customFormat="1">
      <c r="B622" s="18"/>
      <c r="C622" s="18"/>
      <c r="D622" s="18"/>
      <c r="E622" s="18"/>
      <c r="F622" s="18"/>
      <c r="G622" s="18"/>
      <c r="H622" s="18"/>
      <c r="I622" s="71"/>
      <c r="J622" s="71"/>
      <c r="K622" s="71"/>
      <c r="L622" s="71"/>
      <c r="M622" s="71"/>
      <c r="N622" s="71"/>
      <c r="O622" s="71"/>
      <c r="P622" s="46"/>
      <c r="Q622" s="46"/>
      <c r="R622" s="46"/>
      <c r="S622" s="46"/>
      <c r="T622" s="46"/>
      <c r="U622" s="50"/>
      <c r="V622" s="46"/>
    </row>
    <row r="623" spans="2:22" s="27" customFormat="1">
      <c r="B623" s="18"/>
      <c r="C623" s="18"/>
      <c r="D623" s="18"/>
      <c r="E623" s="18"/>
      <c r="F623" s="18"/>
      <c r="G623" s="18"/>
      <c r="H623" s="18"/>
      <c r="I623" s="71"/>
      <c r="J623" s="71"/>
      <c r="K623" s="71"/>
      <c r="L623" s="71"/>
      <c r="M623" s="71"/>
      <c r="N623" s="71"/>
      <c r="O623" s="71"/>
      <c r="P623" s="46"/>
      <c r="Q623" s="46"/>
      <c r="R623" s="46"/>
      <c r="S623" s="46"/>
      <c r="T623" s="46"/>
      <c r="U623" s="50"/>
      <c r="V623" s="46"/>
    </row>
    <row r="624" spans="2:22" s="27" customFormat="1">
      <c r="B624" s="18"/>
      <c r="C624" s="18"/>
      <c r="D624" s="18"/>
      <c r="E624" s="18"/>
      <c r="F624" s="18"/>
      <c r="G624" s="18"/>
      <c r="H624" s="18"/>
      <c r="I624" s="71"/>
      <c r="J624" s="71"/>
      <c r="K624" s="71"/>
      <c r="L624" s="71"/>
      <c r="M624" s="71"/>
      <c r="N624" s="71"/>
      <c r="O624" s="71"/>
      <c r="P624" s="46"/>
      <c r="Q624" s="46"/>
      <c r="R624" s="46"/>
      <c r="S624" s="46"/>
      <c r="T624" s="46"/>
      <c r="U624" s="50"/>
      <c r="V624" s="46"/>
    </row>
    <row r="625" spans="2:22" s="27" customFormat="1">
      <c r="B625" s="18"/>
      <c r="C625" s="18"/>
      <c r="D625" s="18"/>
      <c r="E625" s="18"/>
      <c r="F625" s="18"/>
      <c r="G625" s="18"/>
      <c r="H625" s="18"/>
      <c r="I625" s="71"/>
      <c r="J625" s="71"/>
      <c r="K625" s="71"/>
      <c r="L625" s="71"/>
      <c r="M625" s="71"/>
      <c r="N625" s="71"/>
      <c r="O625" s="71"/>
      <c r="P625" s="46"/>
      <c r="Q625" s="46"/>
      <c r="R625" s="46"/>
      <c r="S625" s="46"/>
      <c r="T625" s="46"/>
      <c r="U625" s="50"/>
      <c r="V625" s="46"/>
    </row>
    <row r="626" spans="2:22" s="27" customFormat="1">
      <c r="B626" s="18"/>
      <c r="C626" s="18"/>
      <c r="D626" s="18"/>
      <c r="E626" s="18"/>
      <c r="F626" s="18"/>
      <c r="G626" s="18"/>
      <c r="H626" s="18"/>
      <c r="I626" s="71"/>
      <c r="J626" s="71"/>
      <c r="K626" s="71"/>
      <c r="L626" s="71"/>
      <c r="M626" s="71"/>
      <c r="N626" s="71"/>
      <c r="O626" s="71"/>
      <c r="P626" s="46"/>
      <c r="Q626" s="46"/>
      <c r="R626" s="46"/>
      <c r="S626" s="46"/>
      <c r="T626" s="46"/>
      <c r="U626" s="50"/>
      <c r="V626" s="46"/>
    </row>
    <row r="627" spans="2:22" s="27" customFormat="1">
      <c r="B627" s="18"/>
      <c r="C627" s="18"/>
      <c r="D627" s="18"/>
      <c r="E627" s="18"/>
      <c r="F627" s="18"/>
      <c r="G627" s="18"/>
      <c r="H627" s="18"/>
      <c r="I627" s="71"/>
      <c r="J627" s="71"/>
      <c r="K627" s="71"/>
      <c r="L627" s="71"/>
      <c r="M627" s="71"/>
      <c r="N627" s="71"/>
      <c r="O627" s="71"/>
      <c r="P627" s="46"/>
      <c r="Q627" s="46"/>
      <c r="R627" s="46"/>
      <c r="S627" s="46"/>
      <c r="T627" s="46"/>
      <c r="U627" s="50"/>
      <c r="V627" s="46"/>
    </row>
    <row r="628" spans="2:22" s="27" customFormat="1">
      <c r="B628" s="18"/>
      <c r="C628" s="18"/>
      <c r="D628" s="18"/>
      <c r="E628" s="18"/>
      <c r="F628" s="18"/>
      <c r="G628" s="18"/>
      <c r="H628" s="18"/>
      <c r="I628" s="71"/>
      <c r="J628" s="71"/>
      <c r="K628" s="71"/>
      <c r="L628" s="71"/>
      <c r="M628" s="71"/>
      <c r="N628" s="71"/>
      <c r="O628" s="71"/>
      <c r="P628" s="46"/>
      <c r="Q628" s="46"/>
      <c r="R628" s="46"/>
      <c r="S628" s="46"/>
      <c r="T628" s="46"/>
      <c r="U628" s="50"/>
      <c r="V628" s="46"/>
    </row>
    <row r="629" spans="2:22" s="27" customFormat="1">
      <c r="B629" s="18"/>
      <c r="C629" s="18"/>
      <c r="D629" s="18"/>
      <c r="E629" s="18"/>
      <c r="F629" s="18"/>
      <c r="G629" s="18"/>
      <c r="H629" s="18"/>
      <c r="I629" s="71"/>
      <c r="J629" s="71"/>
      <c r="K629" s="71"/>
      <c r="L629" s="71"/>
      <c r="M629" s="71"/>
      <c r="N629" s="71"/>
      <c r="O629" s="71"/>
      <c r="P629" s="46"/>
      <c r="Q629" s="46"/>
      <c r="R629" s="46"/>
      <c r="S629" s="46"/>
      <c r="T629" s="46"/>
      <c r="U629" s="50"/>
      <c r="V629" s="46"/>
    </row>
    <row r="630" spans="2:22" s="27" customFormat="1">
      <c r="B630" s="18"/>
      <c r="C630" s="18"/>
      <c r="D630" s="18"/>
      <c r="E630" s="18"/>
      <c r="F630" s="18"/>
      <c r="G630" s="18"/>
      <c r="H630" s="18"/>
      <c r="I630" s="71"/>
      <c r="J630" s="71"/>
      <c r="K630" s="71"/>
      <c r="L630" s="71"/>
      <c r="M630" s="71"/>
      <c r="N630" s="71"/>
      <c r="O630" s="71"/>
      <c r="P630" s="46"/>
      <c r="Q630" s="46"/>
      <c r="R630" s="46"/>
      <c r="S630" s="46"/>
      <c r="T630" s="46"/>
      <c r="U630" s="50"/>
      <c r="V630" s="46"/>
    </row>
    <row r="631" spans="2:22" s="27" customFormat="1">
      <c r="B631" s="18"/>
      <c r="C631" s="18"/>
      <c r="D631" s="18"/>
      <c r="E631" s="18"/>
      <c r="F631" s="18"/>
      <c r="G631" s="18"/>
      <c r="H631" s="18"/>
      <c r="I631" s="71"/>
      <c r="J631" s="71"/>
      <c r="K631" s="71"/>
      <c r="L631" s="71"/>
      <c r="M631" s="71"/>
      <c r="N631" s="71"/>
      <c r="O631" s="71"/>
      <c r="P631" s="46"/>
      <c r="Q631" s="46"/>
      <c r="R631" s="46"/>
      <c r="S631" s="46"/>
      <c r="T631" s="46"/>
      <c r="U631" s="50"/>
      <c r="V631" s="46"/>
    </row>
    <row r="632" spans="2:22" s="27" customFormat="1">
      <c r="B632" s="18"/>
      <c r="C632" s="18"/>
      <c r="D632" s="18"/>
      <c r="E632" s="18"/>
      <c r="F632" s="18"/>
      <c r="G632" s="18"/>
      <c r="H632" s="18"/>
      <c r="I632" s="71"/>
      <c r="J632" s="71"/>
      <c r="K632" s="71"/>
      <c r="L632" s="71"/>
      <c r="M632" s="71"/>
      <c r="N632" s="71"/>
      <c r="O632" s="71"/>
      <c r="P632" s="46"/>
      <c r="Q632" s="46"/>
      <c r="R632" s="46"/>
      <c r="S632" s="46"/>
      <c r="T632" s="46"/>
      <c r="U632" s="50"/>
      <c r="V632" s="46"/>
    </row>
    <row r="633" spans="2:22" s="27" customFormat="1">
      <c r="B633" s="18"/>
      <c r="C633" s="18"/>
      <c r="D633" s="18"/>
      <c r="E633" s="18"/>
      <c r="F633" s="18"/>
      <c r="G633" s="18"/>
      <c r="H633" s="18"/>
      <c r="I633" s="71"/>
      <c r="J633" s="71"/>
      <c r="K633" s="71"/>
      <c r="L633" s="71"/>
      <c r="M633" s="71"/>
      <c r="N633" s="71"/>
      <c r="O633" s="71"/>
      <c r="P633" s="46"/>
      <c r="Q633" s="46"/>
      <c r="R633" s="46"/>
      <c r="S633" s="46"/>
      <c r="T633" s="46"/>
      <c r="U633" s="50"/>
      <c r="V633" s="46"/>
    </row>
    <row r="634" spans="2:22" s="27" customFormat="1">
      <c r="B634" s="18"/>
      <c r="C634" s="18"/>
      <c r="D634" s="18"/>
      <c r="E634" s="18"/>
      <c r="F634" s="18"/>
      <c r="G634" s="18"/>
      <c r="H634" s="18"/>
      <c r="I634" s="71"/>
      <c r="J634" s="71"/>
      <c r="K634" s="71"/>
      <c r="L634" s="71"/>
      <c r="M634" s="71"/>
      <c r="N634" s="71"/>
      <c r="O634" s="71"/>
      <c r="P634" s="46"/>
      <c r="Q634" s="46"/>
      <c r="R634" s="46"/>
      <c r="S634" s="46"/>
      <c r="T634" s="46"/>
      <c r="U634" s="50"/>
      <c r="V634" s="46"/>
    </row>
    <row r="635" spans="2:22" s="27" customFormat="1">
      <c r="B635" s="18"/>
      <c r="C635" s="18"/>
      <c r="D635" s="18"/>
      <c r="E635" s="18"/>
      <c r="F635" s="18"/>
      <c r="G635" s="18"/>
      <c r="H635" s="18"/>
      <c r="I635" s="71"/>
      <c r="J635" s="71"/>
      <c r="K635" s="71"/>
      <c r="L635" s="71"/>
      <c r="M635" s="71"/>
      <c r="N635" s="71"/>
      <c r="O635" s="71"/>
      <c r="P635" s="46"/>
      <c r="Q635" s="46"/>
      <c r="R635" s="46"/>
      <c r="S635" s="46"/>
      <c r="T635" s="46"/>
      <c r="U635" s="50"/>
      <c r="V635" s="46"/>
    </row>
    <row r="636" spans="2:22" s="27" customFormat="1">
      <c r="B636" s="18"/>
      <c r="C636" s="18"/>
      <c r="D636" s="18"/>
      <c r="E636" s="18"/>
      <c r="F636" s="18"/>
      <c r="G636" s="18"/>
      <c r="H636" s="18"/>
      <c r="I636" s="71"/>
      <c r="J636" s="71"/>
      <c r="K636" s="71"/>
      <c r="L636" s="71"/>
      <c r="M636" s="71"/>
      <c r="N636" s="71"/>
      <c r="O636" s="71"/>
      <c r="P636" s="46"/>
      <c r="Q636" s="46"/>
      <c r="R636" s="46"/>
      <c r="S636" s="46"/>
      <c r="T636" s="46"/>
      <c r="U636" s="50"/>
      <c r="V636" s="46"/>
    </row>
    <row r="637" spans="2:22" s="27" customFormat="1">
      <c r="B637" s="18"/>
      <c r="C637" s="18"/>
      <c r="D637" s="18"/>
      <c r="E637" s="18"/>
      <c r="F637" s="18"/>
      <c r="G637" s="18"/>
      <c r="H637" s="18"/>
      <c r="I637" s="71"/>
      <c r="J637" s="71"/>
      <c r="K637" s="71"/>
      <c r="L637" s="71"/>
      <c r="M637" s="71"/>
      <c r="N637" s="71"/>
      <c r="O637" s="71"/>
      <c r="P637" s="46"/>
      <c r="Q637" s="46"/>
      <c r="R637" s="46"/>
      <c r="S637" s="46"/>
      <c r="T637" s="46"/>
      <c r="U637" s="50"/>
      <c r="V637" s="46"/>
    </row>
    <row r="638" spans="2:22" s="27" customFormat="1">
      <c r="B638" s="18"/>
      <c r="C638" s="18"/>
      <c r="D638" s="18"/>
      <c r="E638" s="18"/>
      <c r="F638" s="18"/>
      <c r="G638" s="18"/>
      <c r="H638" s="18"/>
      <c r="I638" s="71"/>
      <c r="J638" s="71"/>
      <c r="K638" s="71"/>
      <c r="L638" s="71"/>
      <c r="M638" s="71"/>
      <c r="N638" s="71"/>
      <c r="O638" s="71"/>
      <c r="P638" s="46"/>
      <c r="Q638" s="46"/>
      <c r="R638" s="46"/>
      <c r="S638" s="46"/>
      <c r="T638" s="46"/>
      <c r="U638" s="50"/>
      <c r="V638" s="46"/>
    </row>
    <row r="639" spans="2:22" s="27" customFormat="1">
      <c r="B639" s="18"/>
      <c r="C639" s="18"/>
      <c r="D639" s="18"/>
      <c r="E639" s="18"/>
      <c r="F639" s="18"/>
      <c r="G639" s="18"/>
      <c r="H639" s="18"/>
      <c r="I639" s="71"/>
      <c r="J639" s="71"/>
      <c r="K639" s="71"/>
      <c r="L639" s="71"/>
      <c r="M639" s="71"/>
      <c r="N639" s="71"/>
      <c r="O639" s="71"/>
      <c r="P639" s="46"/>
      <c r="Q639" s="46"/>
      <c r="R639" s="46"/>
      <c r="S639" s="46"/>
      <c r="T639" s="46"/>
      <c r="U639" s="50"/>
      <c r="V639" s="46"/>
    </row>
    <row r="640" spans="2:22" s="27" customFormat="1">
      <c r="B640" s="18"/>
      <c r="C640" s="18"/>
      <c r="D640" s="18"/>
      <c r="E640" s="18"/>
      <c r="F640" s="18"/>
      <c r="G640" s="18"/>
      <c r="H640" s="18"/>
      <c r="I640" s="71"/>
      <c r="J640" s="71"/>
      <c r="K640" s="71"/>
      <c r="L640" s="71"/>
      <c r="M640" s="71"/>
      <c r="N640" s="71"/>
      <c r="O640" s="71"/>
      <c r="P640" s="46"/>
      <c r="Q640" s="46"/>
      <c r="R640" s="46"/>
      <c r="S640" s="46"/>
      <c r="T640" s="46"/>
      <c r="U640" s="50"/>
      <c r="V640" s="46"/>
    </row>
    <row r="641" spans="2:22" s="27" customFormat="1">
      <c r="B641" s="18"/>
      <c r="C641" s="18"/>
      <c r="D641" s="18"/>
      <c r="E641" s="18"/>
      <c r="F641" s="18"/>
      <c r="G641" s="18"/>
      <c r="H641" s="18"/>
      <c r="I641" s="71"/>
      <c r="J641" s="71"/>
      <c r="K641" s="71"/>
      <c r="L641" s="71"/>
      <c r="M641" s="71"/>
      <c r="N641" s="71"/>
      <c r="O641" s="71"/>
      <c r="P641" s="46"/>
      <c r="Q641" s="46"/>
      <c r="R641" s="46"/>
      <c r="S641" s="46"/>
      <c r="T641" s="46"/>
      <c r="U641" s="50"/>
      <c r="V641" s="46"/>
    </row>
    <row r="642" spans="2:22" s="27" customFormat="1">
      <c r="B642" s="18"/>
      <c r="C642" s="18"/>
      <c r="D642" s="18"/>
      <c r="E642" s="18"/>
      <c r="F642" s="18"/>
      <c r="G642" s="18"/>
      <c r="H642" s="18"/>
      <c r="I642" s="71"/>
      <c r="J642" s="71"/>
      <c r="K642" s="71"/>
      <c r="L642" s="71"/>
      <c r="M642" s="71"/>
      <c r="N642" s="71"/>
      <c r="O642" s="71"/>
      <c r="P642" s="46"/>
      <c r="Q642" s="46"/>
      <c r="R642" s="46"/>
      <c r="S642" s="46"/>
      <c r="T642" s="46"/>
      <c r="U642" s="50"/>
      <c r="V642" s="46"/>
    </row>
    <row r="643" spans="2:22" s="27" customFormat="1">
      <c r="B643" s="18"/>
      <c r="C643" s="18"/>
      <c r="D643" s="18"/>
      <c r="E643" s="18"/>
      <c r="F643" s="18"/>
      <c r="G643" s="18"/>
      <c r="H643" s="18"/>
      <c r="I643" s="71"/>
      <c r="J643" s="71"/>
      <c r="K643" s="71"/>
      <c r="L643" s="71"/>
      <c r="M643" s="71"/>
      <c r="N643" s="71"/>
      <c r="O643" s="71"/>
      <c r="P643" s="46"/>
      <c r="Q643" s="46"/>
      <c r="R643" s="46"/>
      <c r="S643" s="46"/>
      <c r="T643" s="46"/>
      <c r="U643" s="50"/>
      <c r="V643" s="46"/>
    </row>
    <row r="644" spans="2:22" s="27" customFormat="1">
      <c r="B644" s="18"/>
      <c r="C644" s="18"/>
      <c r="D644" s="18"/>
      <c r="E644" s="18"/>
      <c r="F644" s="18"/>
      <c r="G644" s="18"/>
      <c r="H644" s="18"/>
      <c r="I644" s="71"/>
      <c r="J644" s="71"/>
      <c r="K644" s="71"/>
      <c r="L644" s="71"/>
      <c r="M644" s="71"/>
      <c r="N644" s="71"/>
      <c r="O644" s="71"/>
      <c r="P644" s="46"/>
      <c r="Q644" s="46"/>
      <c r="R644" s="46"/>
      <c r="S644" s="46"/>
      <c r="T644" s="46"/>
      <c r="U644" s="50"/>
      <c r="V644" s="46"/>
    </row>
    <row r="645" spans="2:22" s="27" customFormat="1">
      <c r="B645" s="18"/>
      <c r="C645" s="18"/>
      <c r="D645" s="18"/>
      <c r="E645" s="18"/>
      <c r="F645" s="18"/>
      <c r="G645" s="18"/>
      <c r="H645" s="18"/>
      <c r="I645" s="71"/>
      <c r="J645" s="71"/>
      <c r="K645" s="71"/>
      <c r="L645" s="71"/>
      <c r="M645" s="71"/>
      <c r="N645" s="71"/>
      <c r="O645" s="71"/>
      <c r="P645" s="46"/>
      <c r="Q645" s="46"/>
      <c r="R645" s="46"/>
      <c r="S645" s="46"/>
      <c r="T645" s="46"/>
      <c r="U645" s="50"/>
      <c r="V645" s="46"/>
    </row>
    <row r="646" spans="2:22" s="27" customFormat="1">
      <c r="B646" s="18"/>
      <c r="C646" s="18"/>
      <c r="D646" s="18"/>
      <c r="E646" s="18"/>
      <c r="F646" s="18"/>
      <c r="G646" s="18"/>
      <c r="H646" s="18"/>
      <c r="I646" s="71"/>
      <c r="J646" s="71"/>
      <c r="K646" s="71"/>
      <c r="L646" s="71"/>
      <c r="M646" s="71"/>
      <c r="N646" s="71"/>
      <c r="O646" s="71"/>
      <c r="P646" s="46"/>
      <c r="Q646" s="46"/>
      <c r="R646" s="46"/>
      <c r="S646" s="46"/>
      <c r="T646" s="46"/>
      <c r="U646" s="50"/>
      <c r="V646" s="46"/>
    </row>
    <row r="647" spans="2:22" s="27" customFormat="1">
      <c r="B647" s="18"/>
      <c r="C647" s="18"/>
      <c r="D647" s="18"/>
      <c r="E647" s="18"/>
      <c r="F647" s="18"/>
      <c r="G647" s="18"/>
      <c r="H647" s="18"/>
      <c r="I647" s="71"/>
      <c r="J647" s="71"/>
      <c r="K647" s="71"/>
      <c r="L647" s="71"/>
      <c r="M647" s="71"/>
      <c r="N647" s="71"/>
      <c r="O647" s="71"/>
      <c r="P647" s="46"/>
      <c r="Q647" s="46"/>
      <c r="R647" s="46"/>
      <c r="S647" s="46"/>
      <c r="T647" s="46"/>
      <c r="U647" s="50"/>
      <c r="V647" s="46"/>
    </row>
    <row r="648" spans="2:22" s="27" customFormat="1">
      <c r="B648" s="18"/>
      <c r="C648" s="18"/>
      <c r="D648" s="18"/>
      <c r="E648" s="18"/>
      <c r="F648" s="18"/>
      <c r="G648" s="18"/>
      <c r="H648" s="18"/>
      <c r="I648" s="71"/>
      <c r="J648" s="71"/>
      <c r="K648" s="71"/>
      <c r="L648" s="71"/>
      <c r="M648" s="71"/>
      <c r="N648" s="71"/>
      <c r="O648" s="71"/>
      <c r="P648" s="46"/>
      <c r="Q648" s="46"/>
      <c r="R648" s="46"/>
      <c r="S648" s="46"/>
      <c r="T648" s="46"/>
      <c r="U648" s="50"/>
      <c r="V648" s="46"/>
    </row>
    <row r="649" spans="2:22" s="27" customFormat="1">
      <c r="B649" s="18"/>
      <c r="C649" s="18"/>
      <c r="D649" s="18"/>
      <c r="E649" s="18"/>
      <c r="F649" s="18"/>
      <c r="G649" s="18"/>
      <c r="H649" s="18"/>
      <c r="I649" s="71"/>
      <c r="J649" s="71"/>
      <c r="K649" s="71"/>
      <c r="L649" s="71"/>
      <c r="M649" s="71"/>
      <c r="N649" s="71"/>
      <c r="O649" s="71"/>
      <c r="P649" s="46"/>
      <c r="Q649" s="46"/>
      <c r="R649" s="46"/>
      <c r="S649" s="46"/>
      <c r="T649" s="46"/>
      <c r="U649" s="50"/>
      <c r="V649" s="46"/>
    </row>
    <row r="650" spans="2:22" s="27" customFormat="1">
      <c r="B650" s="18"/>
      <c r="C650" s="18"/>
      <c r="D650" s="18"/>
      <c r="E650" s="18"/>
      <c r="F650" s="18"/>
      <c r="G650" s="18"/>
      <c r="H650" s="18"/>
      <c r="I650" s="71"/>
      <c r="J650" s="71"/>
      <c r="K650" s="71"/>
      <c r="L650" s="71"/>
      <c r="M650" s="71"/>
      <c r="N650" s="71"/>
      <c r="O650" s="71"/>
      <c r="P650" s="46"/>
      <c r="Q650" s="46"/>
      <c r="R650" s="46"/>
      <c r="S650" s="46"/>
      <c r="T650" s="46"/>
      <c r="U650" s="50"/>
      <c r="V650" s="46"/>
    </row>
    <row r="651" spans="2:22" s="27" customFormat="1">
      <c r="B651" s="18"/>
      <c r="C651" s="18"/>
      <c r="D651" s="18"/>
      <c r="E651" s="18"/>
      <c r="F651" s="18"/>
      <c r="G651" s="18"/>
      <c r="H651" s="18"/>
      <c r="I651" s="71"/>
      <c r="J651" s="71"/>
      <c r="K651" s="71"/>
      <c r="L651" s="71"/>
      <c r="M651" s="71"/>
      <c r="N651" s="71"/>
      <c r="O651" s="71"/>
      <c r="P651" s="46"/>
      <c r="Q651" s="46"/>
      <c r="R651" s="46"/>
      <c r="S651" s="46"/>
      <c r="T651" s="46"/>
      <c r="U651" s="50"/>
      <c r="V651" s="46"/>
    </row>
    <row r="652" spans="2:22" s="27" customFormat="1">
      <c r="B652" s="18"/>
      <c r="C652" s="18"/>
      <c r="D652" s="18"/>
      <c r="E652" s="18"/>
      <c r="F652" s="18"/>
      <c r="G652" s="18"/>
      <c r="H652" s="18"/>
      <c r="I652" s="71"/>
      <c r="J652" s="71"/>
      <c r="K652" s="71"/>
      <c r="L652" s="71"/>
      <c r="M652" s="71"/>
      <c r="N652" s="71"/>
      <c r="O652" s="71"/>
      <c r="P652" s="46"/>
      <c r="Q652" s="46"/>
      <c r="R652" s="46"/>
      <c r="S652" s="46"/>
      <c r="T652" s="46"/>
      <c r="U652" s="50"/>
      <c r="V652" s="46"/>
    </row>
    <row r="653" spans="2:22" s="27" customFormat="1">
      <c r="B653" s="18"/>
      <c r="C653" s="18"/>
      <c r="D653" s="18"/>
      <c r="E653" s="18"/>
      <c r="F653" s="18"/>
      <c r="G653" s="18"/>
      <c r="H653" s="18"/>
      <c r="I653" s="71"/>
      <c r="J653" s="71"/>
      <c r="K653" s="71"/>
      <c r="L653" s="71"/>
      <c r="M653" s="71"/>
      <c r="N653" s="71"/>
      <c r="O653" s="71"/>
      <c r="P653" s="46"/>
      <c r="Q653" s="46"/>
      <c r="R653" s="46"/>
      <c r="S653" s="46"/>
      <c r="T653" s="46"/>
      <c r="U653" s="50"/>
      <c r="V653" s="46"/>
    </row>
    <row r="654" spans="2:22" s="27" customFormat="1">
      <c r="B654" s="18"/>
      <c r="C654" s="18"/>
      <c r="D654" s="18"/>
      <c r="E654" s="18"/>
      <c r="F654" s="18"/>
      <c r="G654" s="18"/>
      <c r="H654" s="18"/>
      <c r="I654" s="71"/>
      <c r="J654" s="71"/>
      <c r="K654" s="71"/>
      <c r="L654" s="71"/>
      <c r="M654" s="71"/>
      <c r="N654" s="71"/>
      <c r="O654" s="71"/>
      <c r="P654" s="46"/>
      <c r="Q654" s="46"/>
      <c r="R654" s="46"/>
      <c r="S654" s="46"/>
      <c r="T654" s="46"/>
      <c r="U654" s="50"/>
      <c r="V654" s="46"/>
    </row>
    <row r="655" spans="2:22" s="27" customFormat="1">
      <c r="B655" s="18"/>
      <c r="C655" s="18"/>
      <c r="D655" s="18"/>
      <c r="E655" s="18"/>
      <c r="F655" s="18"/>
      <c r="G655" s="18"/>
      <c r="H655" s="18"/>
      <c r="I655" s="71"/>
      <c r="J655" s="71"/>
      <c r="K655" s="71"/>
      <c r="L655" s="71"/>
      <c r="M655" s="71"/>
      <c r="N655" s="71"/>
      <c r="O655" s="71"/>
      <c r="P655" s="46"/>
      <c r="Q655" s="46"/>
      <c r="R655" s="46"/>
      <c r="S655" s="46"/>
      <c r="T655" s="46"/>
      <c r="U655" s="50"/>
      <c r="V655" s="46"/>
    </row>
    <row r="656" spans="2:22" s="27" customFormat="1">
      <c r="B656" s="18"/>
      <c r="C656" s="18"/>
      <c r="D656" s="18"/>
      <c r="E656" s="18"/>
      <c r="F656" s="18"/>
      <c r="G656" s="18"/>
      <c r="H656" s="18"/>
      <c r="I656" s="71"/>
      <c r="J656" s="71"/>
      <c r="K656" s="71"/>
      <c r="L656" s="71"/>
      <c r="M656" s="71"/>
      <c r="N656" s="71"/>
      <c r="O656" s="71"/>
      <c r="P656" s="46"/>
      <c r="Q656" s="46"/>
      <c r="R656" s="46"/>
      <c r="S656" s="46"/>
      <c r="T656" s="46"/>
      <c r="U656" s="50"/>
      <c r="V656" s="46"/>
    </row>
    <row r="657" spans="2:22" s="27" customFormat="1">
      <c r="B657" s="18"/>
      <c r="C657" s="18"/>
      <c r="D657" s="18"/>
      <c r="E657" s="18"/>
      <c r="F657" s="18"/>
      <c r="G657" s="18"/>
      <c r="H657" s="18"/>
      <c r="I657" s="71"/>
      <c r="J657" s="71"/>
      <c r="K657" s="71"/>
      <c r="L657" s="71"/>
      <c r="M657" s="71"/>
      <c r="N657" s="71"/>
      <c r="O657" s="71"/>
      <c r="P657" s="46"/>
      <c r="Q657" s="46"/>
      <c r="R657" s="46"/>
      <c r="S657" s="46"/>
      <c r="T657" s="46"/>
      <c r="U657" s="50"/>
      <c r="V657" s="46"/>
    </row>
    <row r="658" spans="2:22" s="27" customFormat="1">
      <c r="B658" s="18"/>
      <c r="C658" s="18"/>
      <c r="D658" s="18"/>
      <c r="E658" s="18"/>
      <c r="F658" s="18"/>
      <c r="G658" s="18"/>
      <c r="H658" s="18"/>
      <c r="I658" s="71"/>
      <c r="J658" s="71"/>
      <c r="K658" s="71"/>
      <c r="L658" s="71"/>
      <c r="M658" s="71"/>
      <c r="N658" s="71"/>
      <c r="O658" s="71"/>
      <c r="P658" s="46"/>
      <c r="Q658" s="46"/>
      <c r="R658" s="46"/>
      <c r="S658" s="46"/>
      <c r="T658" s="46"/>
      <c r="U658" s="50"/>
      <c r="V658" s="46"/>
    </row>
    <row r="659" spans="2:22" s="27" customFormat="1">
      <c r="B659" s="18"/>
      <c r="C659" s="18"/>
      <c r="D659" s="18"/>
      <c r="E659" s="18"/>
      <c r="F659" s="18"/>
      <c r="G659" s="18"/>
      <c r="H659" s="18"/>
      <c r="I659" s="71"/>
      <c r="J659" s="71"/>
      <c r="K659" s="71"/>
      <c r="L659" s="71"/>
      <c r="M659" s="71"/>
      <c r="N659" s="71"/>
      <c r="O659" s="71"/>
      <c r="P659" s="46"/>
      <c r="Q659" s="46"/>
      <c r="R659" s="46"/>
      <c r="S659" s="46"/>
      <c r="T659" s="46"/>
      <c r="U659" s="50"/>
      <c r="V659" s="46"/>
    </row>
    <row r="660" spans="2:22" s="27" customFormat="1">
      <c r="B660" s="18"/>
      <c r="C660" s="18"/>
      <c r="D660" s="18"/>
      <c r="E660" s="18"/>
      <c r="F660" s="18"/>
      <c r="G660" s="18"/>
      <c r="H660" s="18"/>
      <c r="I660" s="71"/>
      <c r="J660" s="71"/>
      <c r="K660" s="71"/>
      <c r="L660" s="71"/>
      <c r="M660" s="71"/>
      <c r="N660" s="71"/>
      <c r="O660" s="71"/>
      <c r="P660" s="46"/>
      <c r="Q660" s="46"/>
      <c r="R660" s="46"/>
      <c r="S660" s="46"/>
      <c r="T660" s="46"/>
      <c r="U660" s="50"/>
      <c r="V660" s="46"/>
    </row>
    <row r="661" spans="2:22" s="27" customFormat="1">
      <c r="B661" s="18"/>
      <c r="C661" s="18"/>
      <c r="D661" s="18"/>
      <c r="E661" s="18"/>
      <c r="F661" s="18"/>
      <c r="G661" s="18"/>
      <c r="H661" s="18"/>
      <c r="I661" s="71"/>
      <c r="J661" s="71"/>
      <c r="K661" s="71"/>
      <c r="L661" s="71"/>
      <c r="M661" s="71"/>
      <c r="N661" s="71"/>
      <c r="O661" s="71"/>
      <c r="P661" s="46"/>
      <c r="Q661" s="46"/>
      <c r="R661" s="46"/>
      <c r="S661" s="46"/>
      <c r="T661" s="46"/>
      <c r="U661" s="50"/>
      <c r="V661" s="46"/>
    </row>
    <row r="662" spans="2:22" s="27" customFormat="1">
      <c r="B662" s="18"/>
      <c r="C662" s="18"/>
      <c r="D662" s="18"/>
      <c r="E662" s="18"/>
      <c r="F662" s="18"/>
      <c r="G662" s="18"/>
      <c r="H662" s="18"/>
      <c r="I662" s="71"/>
      <c r="J662" s="71"/>
      <c r="K662" s="71"/>
      <c r="L662" s="71"/>
      <c r="M662" s="71"/>
      <c r="N662" s="71"/>
      <c r="O662" s="71"/>
      <c r="P662" s="46"/>
      <c r="Q662" s="46"/>
      <c r="R662" s="46"/>
      <c r="S662" s="46"/>
      <c r="T662" s="46"/>
      <c r="U662" s="50"/>
      <c r="V662" s="46"/>
    </row>
    <row r="663" spans="2:22" s="27" customFormat="1">
      <c r="B663" s="18"/>
      <c r="C663" s="18"/>
      <c r="D663" s="18"/>
      <c r="E663" s="18"/>
      <c r="F663" s="18"/>
      <c r="G663" s="18"/>
      <c r="H663" s="18"/>
      <c r="I663" s="71"/>
      <c r="J663" s="71"/>
      <c r="K663" s="71"/>
      <c r="L663" s="71"/>
      <c r="M663" s="71"/>
      <c r="N663" s="71"/>
      <c r="O663" s="71"/>
      <c r="P663" s="46"/>
      <c r="Q663" s="46"/>
      <c r="R663" s="46"/>
      <c r="S663" s="46"/>
      <c r="T663" s="46"/>
      <c r="U663" s="50"/>
      <c r="V663" s="46"/>
    </row>
    <row r="664" spans="2:22" s="27" customFormat="1">
      <c r="B664" s="18"/>
      <c r="C664" s="18"/>
      <c r="D664" s="18"/>
      <c r="E664" s="18"/>
      <c r="F664" s="18"/>
      <c r="G664" s="18"/>
      <c r="H664" s="18"/>
      <c r="I664" s="71"/>
      <c r="J664" s="71"/>
      <c r="K664" s="71"/>
      <c r="L664" s="71"/>
      <c r="M664" s="71"/>
      <c r="N664" s="71"/>
      <c r="O664" s="71"/>
      <c r="P664" s="46"/>
      <c r="Q664" s="46"/>
      <c r="R664" s="46"/>
      <c r="S664" s="46"/>
      <c r="T664" s="46"/>
      <c r="U664" s="50"/>
      <c r="V664" s="46"/>
    </row>
    <row r="665" spans="2:22" s="27" customFormat="1">
      <c r="B665" s="18"/>
      <c r="C665" s="18"/>
      <c r="D665" s="18"/>
      <c r="E665" s="18"/>
      <c r="F665" s="18"/>
      <c r="G665" s="18"/>
      <c r="H665" s="18"/>
      <c r="I665" s="71"/>
      <c r="J665" s="71"/>
      <c r="K665" s="71"/>
      <c r="L665" s="71"/>
      <c r="M665" s="71"/>
      <c r="N665" s="71"/>
      <c r="O665" s="71"/>
      <c r="P665" s="46"/>
      <c r="Q665" s="46"/>
      <c r="R665" s="46"/>
      <c r="S665" s="46"/>
      <c r="T665" s="46"/>
      <c r="U665" s="50"/>
      <c r="V665" s="46"/>
    </row>
    <row r="666" spans="2:22" s="27" customFormat="1">
      <c r="B666" s="18"/>
      <c r="C666" s="18"/>
      <c r="D666" s="18"/>
      <c r="E666" s="18"/>
      <c r="F666" s="18"/>
      <c r="G666" s="18"/>
      <c r="H666" s="18"/>
      <c r="I666" s="71"/>
      <c r="J666" s="71"/>
      <c r="K666" s="71"/>
      <c r="L666" s="71"/>
      <c r="M666" s="71"/>
      <c r="N666" s="71"/>
      <c r="O666" s="71"/>
      <c r="P666" s="46"/>
      <c r="Q666" s="46"/>
      <c r="R666" s="46"/>
      <c r="S666" s="46"/>
      <c r="T666" s="46"/>
      <c r="U666" s="50"/>
      <c r="V666" s="46"/>
    </row>
    <row r="667" spans="2:22" s="27" customFormat="1">
      <c r="B667" s="18"/>
      <c r="C667" s="18"/>
      <c r="D667" s="18"/>
      <c r="E667" s="18"/>
      <c r="F667" s="18"/>
      <c r="G667" s="18"/>
      <c r="H667" s="18"/>
      <c r="I667" s="71"/>
      <c r="J667" s="71"/>
      <c r="K667" s="71"/>
      <c r="L667" s="71"/>
      <c r="M667" s="71"/>
      <c r="N667" s="71"/>
      <c r="O667" s="71"/>
      <c r="P667" s="46"/>
      <c r="Q667" s="46"/>
      <c r="R667" s="46"/>
      <c r="S667" s="46"/>
      <c r="T667" s="46"/>
      <c r="U667" s="50"/>
      <c r="V667" s="46"/>
    </row>
    <row r="668" spans="2:22" s="27" customFormat="1">
      <c r="B668" s="18"/>
      <c r="C668" s="18"/>
      <c r="D668" s="18"/>
      <c r="E668" s="18"/>
      <c r="F668" s="18"/>
      <c r="G668" s="18"/>
      <c r="H668" s="18"/>
      <c r="I668" s="71"/>
      <c r="J668" s="71"/>
      <c r="K668" s="71"/>
      <c r="L668" s="71"/>
      <c r="M668" s="71"/>
      <c r="N668" s="71"/>
      <c r="O668" s="71"/>
      <c r="P668" s="46"/>
      <c r="Q668" s="46"/>
      <c r="R668" s="46"/>
      <c r="S668" s="46"/>
      <c r="T668" s="46"/>
      <c r="U668" s="50"/>
      <c r="V668" s="46"/>
    </row>
    <row r="669" spans="2:22" s="27" customFormat="1">
      <c r="B669" s="18"/>
      <c r="C669" s="18"/>
      <c r="D669" s="18"/>
      <c r="E669" s="18"/>
      <c r="F669" s="18"/>
      <c r="G669" s="18"/>
      <c r="H669" s="18"/>
      <c r="I669" s="71"/>
      <c r="J669" s="71"/>
      <c r="K669" s="71"/>
      <c r="L669" s="71"/>
      <c r="M669" s="71"/>
      <c r="N669" s="71"/>
      <c r="O669" s="71"/>
      <c r="P669" s="46"/>
      <c r="Q669" s="46"/>
      <c r="R669" s="46"/>
      <c r="S669" s="46"/>
      <c r="T669" s="46"/>
      <c r="U669" s="50"/>
      <c r="V669" s="46"/>
    </row>
    <row r="670" spans="2:22" s="27" customFormat="1">
      <c r="B670" s="18"/>
      <c r="C670" s="18"/>
      <c r="D670" s="18"/>
      <c r="E670" s="18"/>
      <c r="F670" s="18"/>
      <c r="G670" s="18"/>
      <c r="H670" s="18"/>
      <c r="I670" s="71"/>
      <c r="J670" s="71"/>
      <c r="K670" s="71"/>
      <c r="L670" s="71"/>
      <c r="M670" s="71"/>
      <c r="N670" s="71"/>
      <c r="O670" s="71"/>
      <c r="P670" s="46"/>
      <c r="Q670" s="46"/>
      <c r="R670" s="46"/>
      <c r="S670" s="46"/>
      <c r="T670" s="46"/>
      <c r="U670" s="50"/>
      <c r="V670" s="46"/>
    </row>
    <row r="671" spans="2:22" s="27" customFormat="1">
      <c r="B671" s="18"/>
      <c r="C671" s="18"/>
      <c r="D671" s="18"/>
      <c r="E671" s="18"/>
      <c r="F671" s="18"/>
      <c r="G671" s="18"/>
      <c r="H671" s="18"/>
      <c r="I671" s="71"/>
      <c r="J671" s="71"/>
      <c r="K671" s="71"/>
      <c r="L671" s="71"/>
      <c r="M671" s="71"/>
      <c r="N671" s="71"/>
      <c r="O671" s="71"/>
      <c r="P671" s="46"/>
      <c r="Q671" s="46"/>
      <c r="R671" s="46"/>
      <c r="S671" s="46"/>
      <c r="T671" s="46"/>
      <c r="U671" s="50"/>
      <c r="V671" s="46"/>
    </row>
    <row r="672" spans="2:22" s="27" customFormat="1">
      <c r="B672" s="18"/>
      <c r="C672" s="18"/>
      <c r="D672" s="18"/>
      <c r="E672" s="18"/>
      <c r="F672" s="18"/>
      <c r="G672" s="18"/>
      <c r="H672" s="18"/>
      <c r="I672" s="71"/>
      <c r="J672" s="71"/>
      <c r="K672" s="71"/>
      <c r="L672" s="71"/>
      <c r="M672" s="71"/>
      <c r="N672" s="71"/>
      <c r="O672" s="71"/>
      <c r="P672" s="46"/>
      <c r="Q672" s="46"/>
      <c r="R672" s="46"/>
      <c r="S672" s="46"/>
      <c r="T672" s="46"/>
      <c r="U672" s="50"/>
      <c r="V672" s="46"/>
    </row>
    <row r="673" spans="2:22" s="27" customFormat="1">
      <c r="B673" s="18"/>
      <c r="C673" s="18"/>
      <c r="D673" s="18"/>
      <c r="E673" s="18"/>
      <c r="F673" s="18"/>
      <c r="G673" s="18"/>
      <c r="H673" s="18"/>
      <c r="I673" s="71"/>
      <c r="J673" s="71"/>
      <c r="K673" s="71"/>
      <c r="L673" s="71"/>
      <c r="M673" s="71"/>
      <c r="N673" s="71"/>
      <c r="O673" s="71"/>
      <c r="P673" s="46"/>
      <c r="Q673" s="46"/>
      <c r="R673" s="46"/>
      <c r="S673" s="46"/>
      <c r="T673" s="46"/>
      <c r="U673" s="50"/>
      <c r="V673" s="46"/>
    </row>
    <row r="674" spans="2:22" s="27" customFormat="1">
      <c r="B674" s="18"/>
      <c r="C674" s="18"/>
      <c r="D674" s="18"/>
      <c r="E674" s="18"/>
      <c r="F674" s="18"/>
      <c r="G674" s="18"/>
      <c r="H674" s="18"/>
      <c r="I674" s="71"/>
      <c r="J674" s="71"/>
      <c r="K674" s="71"/>
      <c r="L674" s="71"/>
      <c r="M674" s="71"/>
      <c r="N674" s="71"/>
      <c r="O674" s="71"/>
      <c r="P674" s="46"/>
      <c r="Q674" s="46"/>
      <c r="R674" s="46"/>
      <c r="S674" s="46"/>
      <c r="T674" s="46"/>
      <c r="U674" s="50"/>
      <c r="V674" s="46"/>
    </row>
    <row r="675" spans="2:22" s="27" customFormat="1">
      <c r="B675" s="18"/>
      <c r="C675" s="18"/>
      <c r="D675" s="18"/>
      <c r="E675" s="18"/>
      <c r="F675" s="18"/>
      <c r="G675" s="18"/>
      <c r="H675" s="18"/>
      <c r="I675" s="71"/>
      <c r="J675" s="71"/>
      <c r="K675" s="71"/>
      <c r="L675" s="71"/>
      <c r="M675" s="71"/>
      <c r="N675" s="71"/>
      <c r="O675" s="71"/>
      <c r="P675" s="46"/>
      <c r="Q675" s="46"/>
      <c r="R675" s="46"/>
      <c r="S675" s="46"/>
      <c r="T675" s="46"/>
      <c r="U675" s="50"/>
      <c r="V675" s="46"/>
    </row>
    <row r="676" spans="2:22" s="27" customFormat="1">
      <c r="B676" s="18"/>
      <c r="C676" s="18"/>
      <c r="D676" s="18"/>
      <c r="E676" s="18"/>
      <c r="F676" s="18"/>
      <c r="G676" s="18"/>
      <c r="H676" s="18"/>
      <c r="I676" s="71"/>
      <c r="J676" s="71"/>
      <c r="K676" s="71"/>
      <c r="L676" s="71"/>
      <c r="M676" s="71"/>
      <c r="N676" s="71"/>
      <c r="O676" s="71"/>
      <c r="P676" s="46"/>
      <c r="Q676" s="46"/>
      <c r="R676" s="46"/>
      <c r="S676" s="46"/>
      <c r="T676" s="46"/>
      <c r="U676" s="50"/>
      <c r="V676" s="46"/>
    </row>
    <row r="677" spans="2:22" s="27" customFormat="1">
      <c r="B677" s="18"/>
      <c r="C677" s="18"/>
      <c r="D677" s="18"/>
      <c r="E677" s="18"/>
      <c r="F677" s="18"/>
      <c r="G677" s="18"/>
      <c r="H677" s="18"/>
      <c r="I677" s="71"/>
      <c r="J677" s="71"/>
      <c r="K677" s="71"/>
      <c r="L677" s="71"/>
      <c r="M677" s="71"/>
      <c r="N677" s="71"/>
      <c r="O677" s="71"/>
      <c r="P677" s="46"/>
      <c r="Q677" s="46"/>
      <c r="R677" s="46"/>
      <c r="S677" s="46"/>
      <c r="T677" s="46"/>
      <c r="U677" s="50"/>
      <c r="V677" s="46"/>
    </row>
    <row r="678" spans="2:22" s="27" customFormat="1">
      <c r="B678" s="18"/>
      <c r="C678" s="18"/>
      <c r="D678" s="18"/>
      <c r="E678" s="18"/>
      <c r="F678" s="18"/>
      <c r="G678" s="18"/>
      <c r="H678" s="18"/>
      <c r="I678" s="71"/>
      <c r="J678" s="71"/>
      <c r="K678" s="71"/>
      <c r="L678" s="71"/>
      <c r="M678" s="71"/>
      <c r="N678" s="71"/>
      <c r="O678" s="71"/>
      <c r="P678" s="46"/>
      <c r="Q678" s="46"/>
      <c r="R678" s="46"/>
      <c r="S678" s="46"/>
      <c r="T678" s="46"/>
      <c r="U678" s="50"/>
      <c r="V678" s="46"/>
    </row>
    <row r="679" spans="2:22" s="27" customFormat="1">
      <c r="B679" s="18"/>
      <c r="C679" s="18"/>
      <c r="D679" s="18"/>
      <c r="E679" s="18"/>
      <c r="F679" s="18"/>
      <c r="G679" s="18"/>
      <c r="H679" s="18"/>
      <c r="I679" s="71"/>
      <c r="J679" s="71"/>
      <c r="K679" s="71"/>
      <c r="L679" s="71"/>
      <c r="M679" s="71"/>
      <c r="N679" s="71"/>
      <c r="O679" s="71"/>
      <c r="P679" s="46"/>
      <c r="Q679" s="46"/>
      <c r="R679" s="46"/>
      <c r="S679" s="46"/>
      <c r="T679" s="46"/>
      <c r="U679" s="50"/>
      <c r="V679" s="46"/>
    </row>
    <row r="680" spans="2:22" s="27" customFormat="1">
      <c r="B680" s="18"/>
      <c r="C680" s="18"/>
      <c r="D680" s="18"/>
      <c r="E680" s="18"/>
      <c r="F680" s="18"/>
      <c r="G680" s="18"/>
      <c r="H680" s="18"/>
      <c r="I680" s="71"/>
      <c r="J680" s="71"/>
      <c r="K680" s="71"/>
      <c r="L680" s="71"/>
      <c r="M680" s="71"/>
      <c r="N680" s="71"/>
      <c r="O680" s="71"/>
      <c r="P680" s="46"/>
      <c r="Q680" s="46"/>
      <c r="R680" s="46"/>
      <c r="S680" s="46"/>
      <c r="T680" s="46"/>
      <c r="U680" s="50"/>
      <c r="V680" s="46"/>
    </row>
    <row r="681" spans="2:22" s="27" customFormat="1">
      <c r="B681" s="18"/>
      <c r="C681" s="18"/>
      <c r="D681" s="18"/>
      <c r="E681" s="18"/>
      <c r="F681" s="18"/>
      <c r="G681" s="18"/>
      <c r="H681" s="18"/>
      <c r="I681" s="71"/>
      <c r="J681" s="71"/>
      <c r="K681" s="71"/>
      <c r="L681" s="71"/>
      <c r="M681" s="71"/>
      <c r="N681" s="71"/>
      <c r="O681" s="71"/>
      <c r="P681" s="46"/>
      <c r="Q681" s="46"/>
      <c r="R681" s="46"/>
      <c r="S681" s="46"/>
      <c r="T681" s="46"/>
      <c r="U681" s="50"/>
      <c r="V681" s="46"/>
    </row>
    <row r="682" spans="2:22" s="27" customFormat="1">
      <c r="B682" s="18"/>
      <c r="C682" s="18"/>
      <c r="D682" s="18"/>
      <c r="E682" s="18"/>
      <c r="F682" s="18"/>
      <c r="G682" s="18"/>
      <c r="H682" s="18"/>
      <c r="I682" s="71"/>
      <c r="J682" s="71"/>
      <c r="K682" s="71"/>
      <c r="L682" s="71"/>
      <c r="M682" s="71"/>
      <c r="N682" s="71"/>
      <c r="O682" s="71"/>
      <c r="P682" s="46"/>
      <c r="Q682" s="46"/>
      <c r="R682" s="46"/>
      <c r="S682" s="46"/>
      <c r="T682" s="46"/>
      <c r="U682" s="50"/>
      <c r="V682" s="46"/>
    </row>
    <row r="683" spans="2:22" s="27" customFormat="1">
      <c r="B683" s="18"/>
      <c r="C683" s="18"/>
      <c r="D683" s="18"/>
      <c r="E683" s="18"/>
      <c r="F683" s="18"/>
      <c r="G683" s="18"/>
      <c r="H683" s="18"/>
      <c r="I683" s="71"/>
      <c r="J683" s="71"/>
      <c r="K683" s="71"/>
      <c r="L683" s="71"/>
      <c r="M683" s="71"/>
      <c r="N683" s="71"/>
      <c r="O683" s="71"/>
      <c r="P683" s="46"/>
      <c r="Q683" s="46"/>
      <c r="R683" s="46"/>
      <c r="S683" s="46"/>
      <c r="T683" s="46"/>
      <c r="U683" s="50"/>
      <c r="V683" s="46"/>
    </row>
    <row r="684" spans="2:22" s="27" customFormat="1">
      <c r="B684" s="18"/>
      <c r="C684" s="18"/>
      <c r="D684" s="18"/>
      <c r="E684" s="18"/>
      <c r="F684" s="18"/>
      <c r="G684" s="18"/>
      <c r="H684" s="18"/>
      <c r="I684" s="71"/>
      <c r="J684" s="71"/>
      <c r="K684" s="71"/>
      <c r="L684" s="71"/>
      <c r="M684" s="71"/>
      <c r="N684" s="71"/>
      <c r="O684" s="71"/>
      <c r="P684" s="46"/>
      <c r="Q684" s="46"/>
      <c r="R684" s="46"/>
      <c r="S684" s="46"/>
      <c r="T684" s="46"/>
      <c r="U684" s="50"/>
      <c r="V684" s="46"/>
    </row>
    <row r="685" spans="2:22" s="27" customFormat="1">
      <c r="B685" s="18"/>
      <c r="C685" s="18"/>
      <c r="D685" s="18"/>
      <c r="E685" s="18"/>
      <c r="F685" s="18"/>
      <c r="G685" s="18"/>
      <c r="H685" s="18"/>
      <c r="I685" s="71"/>
      <c r="J685" s="71"/>
      <c r="K685" s="71"/>
      <c r="L685" s="71"/>
      <c r="M685" s="71"/>
      <c r="N685" s="71"/>
      <c r="O685" s="71"/>
      <c r="P685" s="46"/>
      <c r="Q685" s="46"/>
      <c r="R685" s="46"/>
      <c r="S685" s="46"/>
      <c r="T685" s="46"/>
      <c r="U685" s="50"/>
      <c r="V685" s="46"/>
    </row>
    <row r="686" spans="2:22" s="27" customFormat="1">
      <c r="B686" s="18"/>
      <c r="C686" s="18"/>
      <c r="D686" s="18"/>
      <c r="E686" s="18"/>
      <c r="F686" s="18"/>
      <c r="G686" s="18"/>
      <c r="H686" s="18"/>
      <c r="I686" s="71"/>
      <c r="J686" s="71"/>
      <c r="K686" s="71"/>
      <c r="L686" s="71"/>
      <c r="M686" s="71"/>
      <c r="N686" s="71"/>
      <c r="O686" s="71"/>
      <c r="P686" s="46"/>
      <c r="Q686" s="46"/>
      <c r="R686" s="46"/>
      <c r="S686" s="46"/>
      <c r="T686" s="46"/>
      <c r="U686" s="50"/>
      <c r="V686" s="46"/>
    </row>
    <row r="687" spans="2:22" s="27" customFormat="1">
      <c r="B687" s="18"/>
      <c r="C687" s="18"/>
      <c r="D687" s="18"/>
      <c r="E687" s="18"/>
      <c r="F687" s="18"/>
      <c r="G687" s="18"/>
      <c r="H687" s="18"/>
      <c r="I687" s="71"/>
      <c r="J687" s="71"/>
      <c r="K687" s="71"/>
      <c r="L687" s="71"/>
      <c r="M687" s="71"/>
      <c r="N687" s="71"/>
      <c r="O687" s="71"/>
      <c r="P687" s="46"/>
      <c r="Q687" s="46"/>
      <c r="R687" s="46"/>
      <c r="S687" s="46"/>
      <c r="T687" s="46"/>
      <c r="U687" s="50"/>
      <c r="V687" s="46"/>
    </row>
    <row r="688" spans="2:22" s="27" customFormat="1">
      <c r="B688" s="18"/>
      <c r="C688" s="18"/>
      <c r="D688" s="18"/>
      <c r="E688" s="18"/>
      <c r="F688" s="18"/>
      <c r="G688" s="18"/>
      <c r="H688" s="18"/>
      <c r="I688" s="71"/>
      <c r="J688" s="71"/>
      <c r="K688" s="71"/>
      <c r="L688" s="71"/>
      <c r="M688" s="71"/>
      <c r="N688" s="71"/>
      <c r="O688" s="71"/>
      <c r="P688" s="46"/>
      <c r="Q688" s="46"/>
      <c r="R688" s="46"/>
      <c r="S688" s="46"/>
      <c r="T688" s="46"/>
      <c r="U688" s="50"/>
      <c r="V688" s="46"/>
    </row>
    <row r="689" spans="2:22" s="27" customFormat="1">
      <c r="B689" s="18"/>
      <c r="C689" s="18"/>
      <c r="D689" s="18"/>
      <c r="E689" s="18"/>
      <c r="F689" s="18"/>
      <c r="G689" s="18"/>
      <c r="H689" s="18"/>
      <c r="I689" s="71"/>
      <c r="J689" s="71"/>
      <c r="K689" s="71"/>
      <c r="L689" s="71"/>
      <c r="M689" s="71"/>
      <c r="N689" s="71"/>
      <c r="O689" s="71"/>
      <c r="P689" s="46"/>
      <c r="Q689" s="46"/>
      <c r="R689" s="46"/>
      <c r="S689" s="46"/>
      <c r="T689" s="46"/>
      <c r="U689" s="50"/>
      <c r="V689" s="46"/>
    </row>
    <row r="690" spans="2:22" s="27" customFormat="1">
      <c r="B690" s="18"/>
      <c r="C690" s="18"/>
      <c r="D690" s="18"/>
      <c r="E690" s="18"/>
      <c r="F690" s="18"/>
      <c r="G690" s="18"/>
      <c r="H690" s="18"/>
      <c r="I690" s="71"/>
      <c r="J690" s="71"/>
      <c r="K690" s="71"/>
      <c r="L690" s="71"/>
      <c r="M690" s="71"/>
      <c r="N690" s="71"/>
      <c r="O690" s="71"/>
      <c r="P690" s="46"/>
      <c r="Q690" s="46"/>
      <c r="R690" s="46"/>
      <c r="S690" s="46"/>
      <c r="T690" s="46"/>
      <c r="U690" s="50"/>
      <c r="V690" s="46"/>
    </row>
    <row r="691" spans="2:22" s="27" customFormat="1">
      <c r="B691" s="18"/>
      <c r="C691" s="18"/>
      <c r="D691" s="18"/>
      <c r="E691" s="18"/>
      <c r="F691" s="18"/>
      <c r="G691" s="18"/>
      <c r="H691" s="18"/>
      <c r="I691" s="71"/>
      <c r="J691" s="71"/>
      <c r="K691" s="71"/>
      <c r="L691" s="71"/>
      <c r="M691" s="71"/>
      <c r="N691" s="71"/>
      <c r="O691" s="71"/>
      <c r="P691" s="46"/>
      <c r="Q691" s="46"/>
      <c r="R691" s="46"/>
      <c r="S691" s="46"/>
      <c r="T691" s="46"/>
      <c r="U691" s="50"/>
      <c r="V691" s="46"/>
    </row>
    <row r="692" spans="2:22" s="27" customFormat="1">
      <c r="B692" s="18"/>
      <c r="C692" s="18"/>
      <c r="D692" s="18"/>
      <c r="E692" s="18"/>
      <c r="F692" s="18"/>
      <c r="G692" s="18"/>
      <c r="H692" s="18"/>
      <c r="I692" s="71"/>
      <c r="J692" s="71"/>
      <c r="K692" s="71"/>
      <c r="L692" s="71"/>
      <c r="M692" s="71"/>
      <c r="N692" s="71"/>
      <c r="O692" s="71"/>
      <c r="P692" s="46"/>
      <c r="Q692" s="46"/>
      <c r="R692" s="46"/>
      <c r="S692" s="46"/>
      <c r="T692" s="46"/>
      <c r="U692" s="50"/>
      <c r="V692" s="46"/>
    </row>
    <row r="693" spans="2:22" s="27" customFormat="1">
      <c r="B693" s="18"/>
      <c r="C693" s="18"/>
      <c r="D693" s="18"/>
      <c r="E693" s="18"/>
      <c r="F693" s="18"/>
      <c r="G693" s="18"/>
      <c r="H693" s="18"/>
      <c r="I693" s="71"/>
      <c r="J693" s="71"/>
      <c r="K693" s="71"/>
      <c r="L693" s="71"/>
      <c r="M693" s="71"/>
      <c r="N693" s="71"/>
      <c r="O693" s="71"/>
      <c r="P693" s="46"/>
      <c r="Q693" s="46"/>
      <c r="R693" s="46"/>
      <c r="S693" s="46"/>
      <c r="T693" s="46"/>
      <c r="U693" s="50"/>
      <c r="V693" s="46"/>
    </row>
    <row r="694" spans="2:22" s="27" customFormat="1">
      <c r="B694" s="18"/>
      <c r="C694" s="18"/>
      <c r="D694" s="18"/>
      <c r="E694" s="18"/>
      <c r="F694" s="18"/>
      <c r="G694" s="18"/>
      <c r="H694" s="18"/>
      <c r="I694" s="71"/>
      <c r="J694" s="71"/>
      <c r="K694" s="71"/>
      <c r="L694" s="71"/>
      <c r="M694" s="71"/>
      <c r="N694" s="71"/>
      <c r="O694" s="71"/>
      <c r="P694" s="46"/>
      <c r="Q694" s="46"/>
      <c r="R694" s="46"/>
      <c r="S694" s="46"/>
      <c r="T694" s="46"/>
      <c r="U694" s="50"/>
      <c r="V694" s="46"/>
    </row>
    <row r="695" spans="2:22" s="27" customFormat="1">
      <c r="B695" s="18"/>
      <c r="C695" s="18"/>
      <c r="D695" s="18"/>
      <c r="E695" s="18"/>
      <c r="F695" s="18"/>
      <c r="G695" s="18"/>
      <c r="H695" s="18"/>
      <c r="I695" s="71"/>
      <c r="J695" s="71"/>
      <c r="K695" s="71"/>
      <c r="L695" s="71"/>
      <c r="M695" s="71"/>
      <c r="N695" s="71"/>
      <c r="O695" s="71"/>
      <c r="P695" s="46"/>
      <c r="Q695" s="46"/>
      <c r="R695" s="46"/>
      <c r="S695" s="46"/>
      <c r="T695" s="46"/>
      <c r="U695" s="50"/>
      <c r="V695" s="46"/>
    </row>
    <row r="696" spans="2:22" s="27" customFormat="1">
      <c r="B696" s="18"/>
      <c r="C696" s="18"/>
      <c r="D696" s="18"/>
      <c r="E696" s="18"/>
      <c r="F696" s="18"/>
      <c r="G696" s="18"/>
      <c r="H696" s="18"/>
      <c r="I696" s="71"/>
      <c r="J696" s="71"/>
      <c r="K696" s="71"/>
      <c r="L696" s="71"/>
      <c r="M696" s="71"/>
      <c r="N696" s="71"/>
      <c r="O696" s="71"/>
      <c r="P696" s="46"/>
      <c r="Q696" s="46"/>
      <c r="R696" s="46"/>
      <c r="S696" s="46"/>
      <c r="T696" s="46"/>
      <c r="U696" s="50"/>
      <c r="V696" s="46"/>
    </row>
    <row r="697" spans="2:22" s="27" customFormat="1">
      <c r="B697" s="18"/>
      <c r="C697" s="18"/>
      <c r="D697" s="18"/>
      <c r="E697" s="18"/>
      <c r="F697" s="18"/>
      <c r="G697" s="18"/>
      <c r="H697" s="18"/>
      <c r="I697" s="71"/>
      <c r="J697" s="71"/>
      <c r="K697" s="71"/>
      <c r="L697" s="71"/>
      <c r="M697" s="71"/>
      <c r="N697" s="71"/>
      <c r="O697" s="71"/>
      <c r="P697" s="46"/>
      <c r="Q697" s="46"/>
      <c r="R697" s="46"/>
      <c r="S697" s="46"/>
      <c r="T697" s="46"/>
      <c r="U697" s="50"/>
      <c r="V697" s="46"/>
    </row>
    <row r="698" spans="2:22" s="27" customFormat="1">
      <c r="B698" s="18"/>
      <c r="C698" s="18"/>
      <c r="D698" s="18"/>
      <c r="E698" s="18"/>
      <c r="F698" s="18"/>
      <c r="G698" s="18"/>
      <c r="H698" s="18"/>
      <c r="I698" s="71"/>
      <c r="J698" s="71"/>
      <c r="K698" s="71"/>
      <c r="L698" s="71"/>
      <c r="M698" s="71"/>
      <c r="N698" s="71"/>
      <c r="O698" s="71"/>
      <c r="P698" s="46"/>
      <c r="Q698" s="46"/>
      <c r="R698" s="46"/>
      <c r="S698" s="46"/>
      <c r="T698" s="46"/>
      <c r="U698" s="50"/>
      <c r="V698" s="46"/>
    </row>
    <row r="699" spans="2:22" s="27" customFormat="1">
      <c r="B699" s="18"/>
      <c r="C699" s="18"/>
      <c r="D699" s="18"/>
      <c r="E699" s="18"/>
      <c r="F699" s="18"/>
      <c r="G699" s="18"/>
      <c r="H699" s="18"/>
      <c r="I699" s="71"/>
      <c r="J699" s="71"/>
      <c r="K699" s="71"/>
      <c r="L699" s="71"/>
      <c r="M699" s="71"/>
      <c r="N699" s="71"/>
      <c r="O699" s="71"/>
      <c r="P699" s="46"/>
      <c r="Q699" s="46"/>
      <c r="R699" s="46"/>
      <c r="S699" s="46"/>
      <c r="T699" s="46"/>
      <c r="U699" s="50"/>
      <c r="V699" s="46"/>
    </row>
    <row r="700" spans="2:22" s="27" customFormat="1">
      <c r="B700" s="18"/>
      <c r="C700" s="18"/>
      <c r="D700" s="18"/>
      <c r="E700" s="18"/>
      <c r="F700" s="18"/>
      <c r="G700" s="18"/>
      <c r="H700" s="18"/>
      <c r="I700" s="71"/>
      <c r="J700" s="71"/>
      <c r="K700" s="71"/>
      <c r="L700" s="71"/>
      <c r="M700" s="71"/>
      <c r="N700" s="71"/>
      <c r="O700" s="71"/>
      <c r="P700" s="46"/>
      <c r="Q700" s="46"/>
      <c r="R700" s="46"/>
      <c r="S700" s="46"/>
      <c r="T700" s="46"/>
      <c r="U700" s="50"/>
      <c r="V700" s="46"/>
    </row>
    <row r="701" spans="2:22" s="27" customFormat="1">
      <c r="B701" s="18"/>
      <c r="C701" s="18"/>
      <c r="D701" s="18"/>
      <c r="E701" s="18"/>
      <c r="F701" s="18"/>
      <c r="G701" s="18"/>
      <c r="H701" s="18"/>
      <c r="I701" s="71"/>
      <c r="J701" s="71"/>
      <c r="K701" s="71"/>
      <c r="L701" s="71"/>
      <c r="M701" s="71"/>
      <c r="N701" s="71"/>
      <c r="O701" s="71"/>
      <c r="P701" s="46"/>
      <c r="Q701" s="46"/>
      <c r="R701" s="46"/>
      <c r="S701" s="46"/>
      <c r="T701" s="46"/>
      <c r="U701" s="50"/>
      <c r="V701" s="46"/>
    </row>
    <row r="702" spans="2:22" s="27" customFormat="1">
      <c r="B702" s="18"/>
      <c r="C702" s="18"/>
      <c r="D702" s="18"/>
      <c r="E702" s="18"/>
      <c r="F702" s="18"/>
      <c r="G702" s="18"/>
      <c r="H702" s="18"/>
      <c r="I702" s="71"/>
      <c r="J702" s="71"/>
      <c r="K702" s="71"/>
      <c r="L702" s="71"/>
      <c r="M702" s="71"/>
      <c r="N702" s="71"/>
      <c r="O702" s="71"/>
      <c r="P702" s="46"/>
      <c r="Q702" s="46"/>
      <c r="R702" s="46"/>
      <c r="S702" s="46"/>
      <c r="T702" s="46"/>
      <c r="U702" s="50"/>
      <c r="V702" s="46"/>
    </row>
    <row r="703" spans="2:22" s="27" customFormat="1">
      <c r="B703" s="18"/>
      <c r="C703" s="18"/>
      <c r="D703" s="18"/>
      <c r="E703" s="18"/>
      <c r="F703" s="18"/>
      <c r="G703" s="18"/>
      <c r="H703" s="18"/>
      <c r="I703" s="71"/>
      <c r="J703" s="71"/>
      <c r="K703" s="71"/>
      <c r="L703" s="71"/>
      <c r="M703" s="71"/>
      <c r="N703" s="71"/>
      <c r="O703" s="71"/>
      <c r="P703" s="46"/>
      <c r="Q703" s="46"/>
      <c r="R703" s="46"/>
      <c r="S703" s="46"/>
      <c r="T703" s="46"/>
      <c r="U703" s="50"/>
      <c r="V703" s="46"/>
    </row>
    <row r="704" spans="2:22" s="27" customFormat="1">
      <c r="B704" s="18"/>
      <c r="C704" s="18"/>
      <c r="D704" s="18"/>
      <c r="E704" s="18"/>
      <c r="F704" s="18"/>
      <c r="G704" s="18"/>
      <c r="H704" s="18"/>
      <c r="I704" s="71"/>
      <c r="J704" s="71"/>
      <c r="K704" s="71"/>
      <c r="L704" s="71"/>
      <c r="M704" s="71"/>
      <c r="N704" s="71"/>
      <c r="O704" s="71"/>
      <c r="P704" s="46"/>
      <c r="Q704" s="46"/>
      <c r="R704" s="46"/>
      <c r="S704" s="46"/>
      <c r="T704" s="46"/>
      <c r="U704" s="50"/>
      <c r="V704" s="46"/>
    </row>
    <row r="705" spans="2:22" s="27" customFormat="1">
      <c r="B705" s="18"/>
      <c r="C705" s="18"/>
      <c r="D705" s="18"/>
      <c r="E705" s="18"/>
      <c r="F705" s="18"/>
      <c r="G705" s="18"/>
      <c r="H705" s="18"/>
      <c r="I705" s="71"/>
      <c r="J705" s="71"/>
      <c r="K705" s="71"/>
      <c r="L705" s="71"/>
      <c r="M705" s="71"/>
      <c r="N705" s="71"/>
      <c r="O705" s="71"/>
      <c r="P705" s="46"/>
      <c r="Q705" s="46"/>
      <c r="R705" s="46"/>
      <c r="S705" s="46"/>
      <c r="T705" s="46"/>
      <c r="U705" s="50"/>
      <c r="V705" s="46"/>
    </row>
    <row r="706" spans="2:22" s="27" customFormat="1">
      <c r="B706" s="18"/>
      <c r="C706" s="18"/>
      <c r="D706" s="18"/>
      <c r="E706" s="18"/>
      <c r="F706" s="18"/>
      <c r="G706" s="18"/>
      <c r="H706" s="18"/>
      <c r="I706" s="71"/>
      <c r="J706" s="71"/>
      <c r="K706" s="71"/>
      <c r="L706" s="71"/>
      <c r="M706" s="71"/>
      <c r="N706" s="71"/>
      <c r="O706" s="71"/>
      <c r="P706" s="46"/>
      <c r="Q706" s="46"/>
      <c r="R706" s="46"/>
      <c r="S706" s="46"/>
      <c r="T706" s="46"/>
      <c r="U706" s="50"/>
      <c r="V706" s="46"/>
    </row>
    <row r="707" spans="2:22" s="27" customFormat="1">
      <c r="B707" s="18"/>
      <c r="C707" s="18"/>
      <c r="D707" s="18"/>
      <c r="E707" s="18"/>
      <c r="F707" s="18"/>
      <c r="G707" s="18"/>
      <c r="H707" s="18"/>
      <c r="I707" s="71"/>
      <c r="J707" s="71"/>
      <c r="K707" s="71"/>
      <c r="L707" s="71"/>
      <c r="M707" s="71"/>
      <c r="N707" s="71"/>
      <c r="O707" s="71"/>
      <c r="P707" s="46"/>
      <c r="Q707" s="46"/>
      <c r="R707" s="46"/>
      <c r="S707" s="46"/>
      <c r="T707" s="46"/>
      <c r="U707" s="50"/>
      <c r="V707" s="46"/>
    </row>
    <row r="708" spans="2:22" s="27" customFormat="1">
      <c r="B708" s="18"/>
      <c r="C708" s="18"/>
      <c r="D708" s="18"/>
      <c r="E708" s="18"/>
      <c r="F708" s="18"/>
      <c r="G708" s="18"/>
      <c r="H708" s="18"/>
      <c r="I708" s="71"/>
      <c r="J708" s="71"/>
      <c r="K708" s="71"/>
      <c r="L708" s="71"/>
      <c r="M708" s="71"/>
      <c r="N708" s="71"/>
      <c r="O708" s="71"/>
      <c r="P708" s="46"/>
      <c r="Q708" s="46"/>
      <c r="R708" s="46"/>
      <c r="S708" s="46"/>
      <c r="T708" s="46"/>
      <c r="U708" s="50"/>
      <c r="V708" s="46"/>
    </row>
    <row r="709" spans="2:22" s="27" customFormat="1">
      <c r="B709" s="18"/>
      <c r="C709" s="18"/>
      <c r="D709" s="18"/>
      <c r="E709" s="18"/>
      <c r="F709" s="18"/>
      <c r="G709" s="18"/>
      <c r="H709" s="18"/>
      <c r="I709" s="71"/>
      <c r="J709" s="71"/>
      <c r="K709" s="71"/>
      <c r="L709" s="71"/>
      <c r="M709" s="71"/>
      <c r="N709" s="71"/>
      <c r="O709" s="71"/>
      <c r="P709" s="46"/>
      <c r="Q709" s="46"/>
      <c r="R709" s="46"/>
      <c r="S709" s="46"/>
      <c r="T709" s="46"/>
      <c r="U709" s="50"/>
      <c r="V709" s="46"/>
    </row>
    <row r="710" spans="2:22" s="27" customFormat="1">
      <c r="B710" s="18"/>
      <c r="C710" s="18"/>
      <c r="D710" s="18"/>
      <c r="E710" s="18"/>
      <c r="F710" s="18"/>
      <c r="G710" s="18"/>
      <c r="H710" s="18"/>
      <c r="I710" s="71"/>
      <c r="J710" s="71"/>
      <c r="K710" s="71"/>
      <c r="L710" s="71"/>
      <c r="M710" s="71"/>
      <c r="N710" s="71"/>
      <c r="O710" s="71"/>
      <c r="P710" s="46"/>
      <c r="Q710" s="46"/>
      <c r="R710" s="46"/>
      <c r="S710" s="46"/>
      <c r="T710" s="46"/>
      <c r="U710" s="50"/>
      <c r="V710" s="46"/>
    </row>
    <row r="711" spans="2:22" s="27" customFormat="1">
      <c r="B711" s="18"/>
      <c r="C711" s="18"/>
      <c r="D711" s="18"/>
      <c r="E711" s="18"/>
      <c r="F711" s="18"/>
      <c r="G711" s="18"/>
      <c r="H711" s="18"/>
      <c r="I711" s="71"/>
      <c r="J711" s="71"/>
      <c r="K711" s="71"/>
      <c r="L711" s="71"/>
      <c r="M711" s="71"/>
      <c r="N711" s="71"/>
      <c r="O711" s="71"/>
      <c r="P711" s="46"/>
      <c r="Q711" s="46"/>
      <c r="R711" s="46"/>
      <c r="S711" s="46"/>
      <c r="T711" s="46"/>
      <c r="U711" s="50"/>
      <c r="V711" s="46"/>
    </row>
    <row r="712" spans="2:22" s="27" customFormat="1">
      <c r="B712" s="18"/>
      <c r="C712" s="18"/>
      <c r="D712" s="18"/>
      <c r="E712" s="18"/>
      <c r="F712" s="18"/>
      <c r="G712" s="18"/>
      <c r="H712" s="18"/>
      <c r="I712" s="71"/>
      <c r="J712" s="71"/>
      <c r="K712" s="71"/>
      <c r="L712" s="71"/>
      <c r="M712" s="71"/>
      <c r="N712" s="71"/>
      <c r="O712" s="71"/>
      <c r="P712" s="46"/>
      <c r="Q712" s="46"/>
      <c r="R712" s="46"/>
      <c r="S712" s="46"/>
      <c r="T712" s="46"/>
      <c r="U712" s="50"/>
      <c r="V712" s="46"/>
    </row>
    <row r="713" spans="2:22" s="27" customFormat="1">
      <c r="B713" s="18"/>
      <c r="C713" s="18"/>
      <c r="D713" s="18"/>
      <c r="E713" s="18"/>
      <c r="F713" s="18"/>
      <c r="G713" s="18"/>
      <c r="H713" s="18"/>
      <c r="I713" s="71"/>
      <c r="J713" s="71"/>
      <c r="K713" s="71"/>
      <c r="L713" s="71"/>
      <c r="M713" s="71"/>
      <c r="N713" s="71"/>
      <c r="O713" s="71"/>
      <c r="P713" s="46"/>
      <c r="Q713" s="46"/>
      <c r="R713" s="46"/>
      <c r="S713" s="46"/>
      <c r="T713" s="46"/>
      <c r="U713" s="50"/>
      <c r="V713" s="46"/>
    </row>
    <row r="714" spans="2:22" s="27" customFormat="1">
      <c r="B714" s="18"/>
      <c r="C714" s="18"/>
      <c r="D714" s="18"/>
      <c r="E714" s="18"/>
      <c r="F714" s="18"/>
      <c r="G714" s="18"/>
      <c r="H714" s="18"/>
      <c r="I714" s="71"/>
      <c r="J714" s="71"/>
      <c r="K714" s="71"/>
      <c r="L714" s="71"/>
      <c r="M714" s="71"/>
      <c r="N714" s="71"/>
      <c r="O714" s="71"/>
      <c r="P714" s="46"/>
      <c r="Q714" s="46"/>
      <c r="R714" s="46"/>
      <c r="S714" s="46"/>
      <c r="T714" s="46"/>
      <c r="U714" s="50"/>
      <c r="V714" s="46"/>
    </row>
    <row r="715" spans="2:22" s="27" customFormat="1">
      <c r="B715" s="18"/>
      <c r="C715" s="18"/>
      <c r="D715" s="18"/>
      <c r="E715" s="18"/>
      <c r="F715" s="18"/>
      <c r="G715" s="18"/>
      <c r="H715" s="18"/>
      <c r="I715" s="71"/>
      <c r="J715" s="71"/>
      <c r="K715" s="71"/>
      <c r="L715" s="71"/>
      <c r="M715" s="71"/>
      <c r="N715" s="71"/>
      <c r="O715" s="71"/>
      <c r="P715" s="46"/>
      <c r="Q715" s="46"/>
      <c r="R715" s="46"/>
      <c r="S715" s="46"/>
      <c r="T715" s="46"/>
      <c r="U715" s="50"/>
      <c r="V715" s="46"/>
    </row>
    <row r="716" spans="2:22" s="27" customFormat="1">
      <c r="B716" s="18"/>
      <c r="C716" s="18"/>
      <c r="D716" s="18"/>
      <c r="E716" s="18"/>
      <c r="F716" s="18"/>
      <c r="G716" s="18"/>
      <c r="H716" s="18"/>
      <c r="I716" s="71"/>
      <c r="J716" s="71"/>
      <c r="K716" s="71"/>
      <c r="L716" s="71"/>
      <c r="M716" s="71"/>
      <c r="N716" s="71"/>
      <c r="O716" s="71"/>
      <c r="P716" s="46"/>
      <c r="Q716" s="46"/>
      <c r="R716" s="46"/>
      <c r="S716" s="46"/>
      <c r="T716" s="46"/>
      <c r="U716" s="50"/>
      <c r="V716" s="46"/>
    </row>
    <row r="717" spans="2:22" s="27" customFormat="1">
      <c r="B717" s="18"/>
      <c r="C717" s="18"/>
      <c r="D717" s="18"/>
      <c r="E717" s="18"/>
      <c r="F717" s="18"/>
      <c r="G717" s="18"/>
      <c r="H717" s="18"/>
      <c r="I717" s="71"/>
      <c r="J717" s="71"/>
      <c r="K717" s="71"/>
      <c r="L717" s="71"/>
      <c r="M717" s="71"/>
      <c r="N717" s="71"/>
      <c r="O717" s="71"/>
      <c r="P717" s="46"/>
      <c r="Q717" s="46"/>
      <c r="R717" s="46"/>
      <c r="S717" s="46"/>
      <c r="T717" s="46"/>
      <c r="U717" s="50"/>
      <c r="V717" s="46"/>
    </row>
    <row r="718" spans="2:22" s="27" customFormat="1">
      <c r="B718" s="18"/>
      <c r="C718" s="18"/>
      <c r="D718" s="18"/>
      <c r="E718" s="18"/>
      <c r="F718" s="18"/>
      <c r="G718" s="18"/>
      <c r="H718" s="18"/>
      <c r="I718" s="71"/>
      <c r="J718" s="71"/>
      <c r="K718" s="71"/>
      <c r="L718" s="71"/>
      <c r="M718" s="71"/>
      <c r="N718" s="71"/>
      <c r="O718" s="71"/>
      <c r="P718" s="46"/>
      <c r="Q718" s="46"/>
      <c r="R718" s="46"/>
      <c r="S718" s="46"/>
      <c r="T718" s="46"/>
      <c r="U718" s="50"/>
      <c r="V718" s="46"/>
    </row>
    <row r="719" spans="2:22" s="27" customFormat="1">
      <c r="B719" s="18"/>
      <c r="C719" s="18"/>
      <c r="D719" s="18"/>
      <c r="E719" s="18"/>
      <c r="F719" s="18"/>
      <c r="G719" s="18"/>
      <c r="H719" s="18"/>
      <c r="I719" s="71"/>
      <c r="J719" s="71"/>
      <c r="K719" s="71"/>
      <c r="L719" s="71"/>
      <c r="M719" s="71"/>
      <c r="N719" s="71"/>
      <c r="O719" s="71"/>
      <c r="P719" s="46"/>
      <c r="Q719" s="46"/>
      <c r="R719" s="46"/>
      <c r="S719" s="46"/>
      <c r="T719" s="46"/>
      <c r="U719" s="50"/>
      <c r="V719" s="46"/>
    </row>
    <row r="720" spans="2:22" s="27" customFormat="1">
      <c r="B720" s="18"/>
      <c r="C720" s="18"/>
      <c r="D720" s="18"/>
      <c r="E720" s="18"/>
      <c r="F720" s="18"/>
      <c r="G720" s="18"/>
      <c r="H720" s="18"/>
      <c r="I720" s="71"/>
      <c r="J720" s="71"/>
      <c r="K720" s="71"/>
      <c r="L720" s="71"/>
      <c r="M720" s="71"/>
      <c r="N720" s="71"/>
      <c r="O720" s="71"/>
      <c r="P720" s="46"/>
      <c r="Q720" s="46"/>
      <c r="R720" s="46"/>
      <c r="S720" s="46"/>
      <c r="T720" s="46"/>
      <c r="U720" s="50"/>
      <c r="V720" s="46"/>
    </row>
    <row r="721" spans="2:22" s="27" customFormat="1">
      <c r="B721" s="18"/>
      <c r="C721" s="18"/>
      <c r="D721" s="18"/>
      <c r="E721" s="18"/>
      <c r="F721" s="18"/>
      <c r="G721" s="18"/>
      <c r="H721" s="18"/>
      <c r="I721" s="71"/>
      <c r="J721" s="71"/>
      <c r="K721" s="71"/>
      <c r="L721" s="71"/>
      <c r="M721" s="71"/>
      <c r="N721" s="71"/>
      <c r="O721" s="71"/>
      <c r="P721" s="46"/>
      <c r="Q721" s="46"/>
      <c r="R721" s="46"/>
      <c r="S721" s="46"/>
      <c r="T721" s="46"/>
      <c r="U721" s="50"/>
      <c r="V721" s="46"/>
    </row>
    <row r="722" spans="2:22" s="27" customFormat="1">
      <c r="B722" s="18"/>
      <c r="C722" s="18"/>
      <c r="D722" s="18"/>
      <c r="E722" s="18"/>
      <c r="F722" s="18"/>
      <c r="G722" s="18"/>
      <c r="H722" s="18"/>
      <c r="I722" s="71"/>
      <c r="J722" s="71"/>
      <c r="K722" s="71"/>
      <c r="L722" s="71"/>
      <c r="M722" s="71"/>
      <c r="N722" s="71"/>
      <c r="O722" s="71"/>
      <c r="P722" s="46"/>
      <c r="Q722" s="46"/>
      <c r="R722" s="46"/>
      <c r="S722" s="46"/>
      <c r="T722" s="46"/>
      <c r="U722" s="50"/>
      <c r="V722" s="46"/>
    </row>
    <row r="723" spans="2:22" s="27" customFormat="1">
      <c r="B723" s="18"/>
      <c r="C723" s="18"/>
      <c r="D723" s="18"/>
      <c r="E723" s="18"/>
      <c r="F723" s="18"/>
      <c r="G723" s="18"/>
      <c r="H723" s="18"/>
      <c r="I723" s="71"/>
      <c r="J723" s="71"/>
      <c r="K723" s="71"/>
      <c r="L723" s="71"/>
      <c r="M723" s="71"/>
      <c r="N723" s="71"/>
      <c r="O723" s="71"/>
      <c r="P723" s="46"/>
      <c r="Q723" s="46"/>
      <c r="R723" s="46"/>
      <c r="S723" s="46"/>
      <c r="T723" s="46"/>
      <c r="U723" s="50"/>
      <c r="V723" s="46"/>
    </row>
    <row r="724" spans="2:22" s="27" customFormat="1">
      <c r="B724" s="18"/>
      <c r="C724" s="18"/>
      <c r="D724" s="18"/>
      <c r="E724" s="18"/>
      <c r="F724" s="18"/>
      <c r="G724" s="18"/>
      <c r="H724" s="18"/>
      <c r="I724" s="71"/>
      <c r="J724" s="71"/>
      <c r="K724" s="71"/>
      <c r="L724" s="71"/>
      <c r="M724" s="71"/>
      <c r="N724" s="71"/>
      <c r="O724" s="71"/>
      <c r="P724" s="46"/>
      <c r="Q724" s="46"/>
      <c r="R724" s="46"/>
      <c r="S724" s="46"/>
      <c r="T724" s="46"/>
      <c r="U724" s="50"/>
      <c r="V724" s="46"/>
    </row>
    <row r="725" spans="2:22" s="27" customFormat="1">
      <c r="B725" s="18"/>
      <c r="C725" s="18"/>
      <c r="D725" s="18"/>
      <c r="E725" s="18"/>
      <c r="F725" s="18"/>
      <c r="G725" s="18"/>
      <c r="H725" s="18"/>
      <c r="I725" s="71"/>
      <c r="J725" s="71"/>
      <c r="K725" s="71"/>
      <c r="L725" s="71"/>
      <c r="M725" s="71"/>
      <c r="N725" s="71"/>
      <c r="O725" s="71"/>
      <c r="P725" s="46"/>
      <c r="Q725" s="46"/>
      <c r="R725" s="46"/>
      <c r="S725" s="46"/>
      <c r="T725" s="46"/>
      <c r="U725" s="50"/>
      <c r="V725" s="46"/>
    </row>
    <row r="726" spans="2:22" s="27" customFormat="1">
      <c r="B726" s="18"/>
      <c r="C726" s="18"/>
      <c r="D726" s="18"/>
      <c r="E726" s="18"/>
      <c r="F726" s="18"/>
      <c r="G726" s="18"/>
      <c r="H726" s="18"/>
      <c r="I726" s="71"/>
      <c r="J726" s="71"/>
      <c r="K726" s="71"/>
      <c r="L726" s="71"/>
      <c r="M726" s="71"/>
      <c r="N726" s="71"/>
      <c r="O726" s="71"/>
      <c r="P726" s="46"/>
      <c r="Q726" s="46"/>
      <c r="R726" s="46"/>
      <c r="S726" s="46"/>
      <c r="T726" s="46"/>
      <c r="U726" s="50"/>
      <c r="V726" s="46"/>
    </row>
    <row r="727" spans="2:22" s="27" customFormat="1">
      <c r="B727" s="18"/>
      <c r="C727" s="18"/>
      <c r="D727" s="18"/>
      <c r="E727" s="18"/>
      <c r="F727" s="18"/>
      <c r="G727" s="18"/>
      <c r="H727" s="18"/>
      <c r="I727" s="71"/>
      <c r="J727" s="71"/>
      <c r="K727" s="71"/>
      <c r="L727" s="71"/>
      <c r="M727" s="71"/>
      <c r="N727" s="71"/>
      <c r="O727" s="71"/>
      <c r="P727" s="46"/>
      <c r="Q727" s="46"/>
      <c r="R727" s="46"/>
      <c r="S727" s="46"/>
      <c r="T727" s="46"/>
      <c r="U727" s="50"/>
      <c r="V727" s="46"/>
    </row>
    <row r="728" spans="2:22" s="27" customFormat="1">
      <c r="B728" s="18"/>
      <c r="C728" s="18"/>
      <c r="D728" s="18"/>
      <c r="E728" s="18"/>
      <c r="F728" s="18"/>
      <c r="G728" s="18"/>
      <c r="H728" s="18"/>
      <c r="I728" s="71"/>
      <c r="J728" s="71"/>
      <c r="K728" s="71"/>
      <c r="L728" s="71"/>
      <c r="M728" s="71"/>
      <c r="N728" s="71"/>
      <c r="O728" s="71"/>
      <c r="P728" s="46"/>
      <c r="Q728" s="46"/>
      <c r="R728" s="46"/>
      <c r="S728" s="46"/>
      <c r="T728" s="46"/>
      <c r="U728" s="50"/>
      <c r="V728" s="46"/>
    </row>
    <row r="729" spans="2:22" s="27" customFormat="1">
      <c r="B729" s="18"/>
      <c r="C729" s="18"/>
      <c r="D729" s="18"/>
      <c r="E729" s="18"/>
      <c r="F729" s="18"/>
      <c r="G729" s="18"/>
      <c r="H729" s="18"/>
      <c r="I729" s="71"/>
      <c r="J729" s="71"/>
      <c r="K729" s="71"/>
      <c r="L729" s="71"/>
      <c r="M729" s="71"/>
      <c r="N729" s="71"/>
      <c r="O729" s="71"/>
      <c r="P729" s="46"/>
      <c r="Q729" s="46"/>
      <c r="R729" s="46"/>
      <c r="S729" s="46"/>
      <c r="T729" s="46"/>
      <c r="U729" s="50"/>
      <c r="V729" s="46"/>
    </row>
    <row r="730" spans="2:22" s="27" customFormat="1">
      <c r="B730" s="18"/>
      <c r="C730" s="18"/>
      <c r="D730" s="18"/>
      <c r="E730" s="18"/>
      <c r="F730" s="18"/>
      <c r="G730" s="18"/>
      <c r="H730" s="18"/>
      <c r="I730" s="71"/>
      <c r="J730" s="71"/>
      <c r="K730" s="71"/>
      <c r="L730" s="71"/>
      <c r="M730" s="71"/>
      <c r="N730" s="71"/>
      <c r="O730" s="71"/>
      <c r="P730" s="46"/>
      <c r="Q730" s="46"/>
      <c r="R730" s="46"/>
      <c r="S730" s="46"/>
      <c r="T730" s="46"/>
      <c r="U730" s="50"/>
      <c r="V730" s="46"/>
    </row>
    <row r="731" spans="2:22" s="27" customFormat="1">
      <c r="B731" s="18"/>
      <c r="C731" s="18"/>
      <c r="D731" s="18"/>
      <c r="E731" s="18"/>
      <c r="F731" s="18"/>
      <c r="G731" s="18"/>
      <c r="H731" s="18"/>
      <c r="I731" s="71"/>
      <c r="J731" s="71"/>
      <c r="K731" s="71"/>
      <c r="L731" s="71"/>
      <c r="M731" s="71"/>
      <c r="N731" s="71"/>
      <c r="O731" s="71"/>
      <c r="P731" s="46"/>
      <c r="Q731" s="46"/>
      <c r="R731" s="46"/>
      <c r="S731" s="46"/>
      <c r="T731" s="46"/>
      <c r="U731" s="50"/>
      <c r="V731" s="46"/>
    </row>
    <row r="732" spans="2:22" s="27" customFormat="1">
      <c r="B732" s="18"/>
      <c r="C732" s="18"/>
      <c r="D732" s="18"/>
      <c r="E732" s="18"/>
      <c r="F732" s="18"/>
      <c r="G732" s="18"/>
      <c r="H732" s="18"/>
      <c r="I732" s="71"/>
      <c r="J732" s="71"/>
      <c r="K732" s="71"/>
      <c r="L732" s="71"/>
      <c r="M732" s="71"/>
      <c r="N732" s="71"/>
      <c r="O732" s="71"/>
      <c r="P732" s="46"/>
      <c r="Q732" s="46"/>
      <c r="R732" s="46"/>
      <c r="S732" s="46"/>
      <c r="T732" s="46"/>
      <c r="U732" s="50"/>
      <c r="V732" s="46"/>
    </row>
    <row r="733" spans="2:22" s="27" customFormat="1">
      <c r="B733" s="18"/>
      <c r="C733" s="18"/>
      <c r="D733" s="18"/>
      <c r="E733" s="18"/>
      <c r="F733" s="18"/>
      <c r="G733" s="18"/>
      <c r="H733" s="18"/>
      <c r="I733" s="71"/>
      <c r="J733" s="71"/>
      <c r="K733" s="71"/>
      <c r="L733" s="71"/>
      <c r="M733" s="71"/>
      <c r="N733" s="71"/>
      <c r="O733" s="71"/>
      <c r="P733" s="46"/>
      <c r="Q733" s="46"/>
      <c r="R733" s="46"/>
      <c r="S733" s="46"/>
      <c r="T733" s="46"/>
      <c r="U733" s="50"/>
      <c r="V733" s="46"/>
    </row>
    <row r="734" spans="2:22" s="27" customFormat="1">
      <c r="B734" s="18"/>
      <c r="C734" s="18"/>
      <c r="D734" s="18"/>
      <c r="E734" s="18"/>
      <c r="F734" s="18"/>
      <c r="G734" s="18"/>
      <c r="H734" s="18"/>
      <c r="I734" s="71"/>
      <c r="J734" s="71"/>
      <c r="K734" s="71"/>
      <c r="L734" s="71"/>
      <c r="M734" s="71"/>
      <c r="N734" s="71"/>
      <c r="O734" s="71"/>
      <c r="P734" s="46"/>
      <c r="Q734" s="46"/>
      <c r="R734" s="46"/>
      <c r="S734" s="46"/>
      <c r="T734" s="46"/>
      <c r="U734" s="50"/>
      <c r="V734" s="46"/>
    </row>
    <row r="735" spans="2:22" s="27" customFormat="1">
      <c r="B735" s="18"/>
      <c r="C735" s="18"/>
      <c r="D735" s="18"/>
      <c r="E735" s="18"/>
      <c r="F735" s="18"/>
      <c r="G735" s="18"/>
      <c r="H735" s="18"/>
      <c r="I735" s="71"/>
      <c r="J735" s="71"/>
      <c r="K735" s="71"/>
      <c r="L735" s="71"/>
      <c r="M735" s="71"/>
      <c r="N735" s="71"/>
      <c r="O735" s="71"/>
      <c r="P735" s="46"/>
      <c r="Q735" s="46"/>
      <c r="R735" s="46"/>
      <c r="S735" s="46"/>
      <c r="T735" s="46"/>
      <c r="U735" s="50"/>
      <c r="V735" s="46"/>
    </row>
    <row r="736" spans="2:22" s="27" customFormat="1">
      <c r="B736" s="18"/>
      <c r="C736" s="18"/>
      <c r="D736" s="18"/>
      <c r="E736" s="18"/>
      <c r="F736" s="18"/>
      <c r="G736" s="18"/>
      <c r="H736" s="18"/>
      <c r="I736" s="71"/>
      <c r="J736" s="71"/>
      <c r="K736" s="71"/>
      <c r="L736" s="71"/>
      <c r="M736" s="71"/>
      <c r="N736" s="71"/>
      <c r="O736" s="71"/>
      <c r="P736" s="46"/>
      <c r="Q736" s="46"/>
      <c r="R736" s="46"/>
      <c r="S736" s="46"/>
      <c r="T736" s="46"/>
      <c r="U736" s="50"/>
      <c r="V736" s="46"/>
    </row>
    <row r="737" spans="2:22" s="27" customFormat="1">
      <c r="B737" s="18"/>
      <c r="C737" s="18"/>
      <c r="D737" s="18"/>
      <c r="E737" s="18"/>
      <c r="F737" s="18"/>
      <c r="G737" s="18"/>
      <c r="H737" s="18"/>
      <c r="I737" s="71"/>
      <c r="J737" s="71"/>
      <c r="K737" s="71"/>
      <c r="L737" s="71"/>
      <c r="M737" s="71"/>
      <c r="N737" s="71"/>
      <c r="O737" s="71"/>
      <c r="P737" s="46"/>
      <c r="Q737" s="46"/>
      <c r="R737" s="46"/>
      <c r="S737" s="46"/>
      <c r="T737" s="46"/>
      <c r="U737" s="50"/>
      <c r="V737" s="46"/>
    </row>
    <row r="738" spans="2:22" s="27" customFormat="1">
      <c r="B738" s="18"/>
      <c r="C738" s="18"/>
      <c r="D738" s="18"/>
      <c r="E738" s="18"/>
      <c r="F738" s="18"/>
      <c r="G738" s="18"/>
      <c r="H738" s="18"/>
      <c r="I738" s="71"/>
      <c r="J738" s="71"/>
      <c r="K738" s="71"/>
      <c r="L738" s="71"/>
      <c r="M738" s="71"/>
      <c r="N738" s="71"/>
      <c r="O738" s="71"/>
      <c r="P738" s="46"/>
      <c r="Q738" s="46"/>
      <c r="R738" s="46"/>
      <c r="S738" s="46"/>
      <c r="T738" s="46"/>
      <c r="U738" s="50"/>
      <c r="V738" s="46"/>
    </row>
    <row r="739" spans="2:22" s="27" customFormat="1">
      <c r="B739" s="18"/>
      <c r="C739" s="18"/>
      <c r="D739" s="18"/>
      <c r="E739" s="18"/>
      <c r="F739" s="18"/>
      <c r="G739" s="18"/>
      <c r="H739" s="18"/>
      <c r="I739" s="71"/>
      <c r="J739" s="71"/>
      <c r="K739" s="71"/>
      <c r="L739" s="71"/>
      <c r="M739" s="71"/>
      <c r="N739" s="71"/>
      <c r="O739" s="71"/>
      <c r="P739" s="46"/>
      <c r="Q739" s="46"/>
      <c r="R739" s="46"/>
      <c r="S739" s="46"/>
      <c r="T739" s="46"/>
      <c r="U739" s="50"/>
      <c r="V739" s="46"/>
    </row>
    <row r="740" spans="2:22" s="27" customFormat="1">
      <c r="B740" s="18"/>
      <c r="C740" s="18"/>
      <c r="D740" s="18"/>
      <c r="E740" s="18"/>
      <c r="F740" s="18"/>
      <c r="G740" s="18"/>
      <c r="H740" s="18"/>
      <c r="I740" s="71"/>
      <c r="J740" s="71"/>
      <c r="K740" s="71"/>
      <c r="L740" s="71"/>
      <c r="M740" s="71"/>
      <c r="N740" s="71"/>
      <c r="O740" s="71"/>
      <c r="P740" s="46"/>
      <c r="Q740" s="46"/>
      <c r="R740" s="46"/>
      <c r="S740" s="46"/>
      <c r="T740" s="46"/>
      <c r="U740" s="50"/>
      <c r="V740" s="46"/>
    </row>
    <row r="741" spans="2:22" s="27" customFormat="1">
      <c r="B741" s="18"/>
      <c r="C741" s="18"/>
      <c r="D741" s="18"/>
      <c r="E741" s="18"/>
      <c r="F741" s="18"/>
      <c r="G741" s="18"/>
      <c r="H741" s="18"/>
      <c r="I741" s="71"/>
      <c r="J741" s="71"/>
      <c r="K741" s="71"/>
      <c r="L741" s="71"/>
      <c r="M741" s="71"/>
      <c r="N741" s="71"/>
      <c r="O741" s="71"/>
      <c r="P741" s="46"/>
      <c r="Q741" s="46"/>
      <c r="R741" s="46"/>
      <c r="S741" s="46"/>
      <c r="T741" s="46"/>
      <c r="U741" s="50"/>
      <c r="V741" s="46"/>
    </row>
    <row r="742" spans="2:22" s="27" customFormat="1">
      <c r="B742" s="18"/>
      <c r="C742" s="18"/>
      <c r="D742" s="18"/>
      <c r="E742" s="18"/>
      <c r="F742" s="18"/>
      <c r="G742" s="18"/>
      <c r="H742" s="18"/>
      <c r="I742" s="71"/>
      <c r="J742" s="71"/>
      <c r="K742" s="71"/>
      <c r="L742" s="71"/>
      <c r="M742" s="71"/>
      <c r="N742" s="71"/>
      <c r="O742" s="71"/>
      <c r="P742" s="46"/>
      <c r="Q742" s="46"/>
      <c r="R742" s="46"/>
      <c r="S742" s="46"/>
      <c r="T742" s="46"/>
      <c r="U742" s="50"/>
      <c r="V742" s="46"/>
    </row>
    <row r="743" spans="2:22" s="27" customFormat="1">
      <c r="B743" s="18"/>
      <c r="C743" s="18"/>
      <c r="D743" s="18"/>
      <c r="E743" s="18"/>
      <c r="F743" s="18"/>
      <c r="G743" s="18"/>
      <c r="H743" s="18"/>
      <c r="I743" s="71"/>
      <c r="J743" s="71"/>
      <c r="K743" s="71"/>
      <c r="L743" s="71"/>
      <c r="M743" s="71"/>
      <c r="N743" s="71"/>
      <c r="O743" s="71"/>
      <c r="P743" s="46"/>
      <c r="Q743" s="46"/>
      <c r="R743" s="46"/>
      <c r="S743" s="46"/>
      <c r="T743" s="46"/>
      <c r="U743" s="50"/>
      <c r="V743" s="46"/>
    </row>
    <row r="744" spans="2:22" s="27" customFormat="1">
      <c r="B744" s="18"/>
      <c r="C744" s="18"/>
      <c r="D744" s="18"/>
      <c r="E744" s="18"/>
      <c r="F744" s="18"/>
      <c r="G744" s="18"/>
      <c r="H744" s="18"/>
      <c r="I744" s="71"/>
      <c r="J744" s="71"/>
      <c r="K744" s="71"/>
      <c r="L744" s="71"/>
      <c r="M744" s="71"/>
      <c r="N744" s="71"/>
      <c r="O744" s="71"/>
      <c r="P744" s="46"/>
      <c r="Q744" s="46"/>
      <c r="R744" s="46"/>
      <c r="S744" s="46"/>
      <c r="T744" s="46"/>
      <c r="U744" s="50"/>
      <c r="V744" s="46"/>
    </row>
    <row r="745" spans="2:22" s="27" customFormat="1">
      <c r="B745" s="18"/>
      <c r="C745" s="18"/>
      <c r="D745" s="18"/>
      <c r="E745" s="18"/>
      <c r="F745" s="18"/>
      <c r="G745" s="18"/>
      <c r="H745" s="18"/>
      <c r="I745" s="71"/>
      <c r="J745" s="71"/>
      <c r="K745" s="71"/>
      <c r="L745" s="71"/>
      <c r="M745" s="71"/>
      <c r="N745" s="71"/>
      <c r="O745" s="71"/>
      <c r="P745" s="46"/>
      <c r="Q745" s="46"/>
      <c r="R745" s="46"/>
      <c r="S745" s="46"/>
      <c r="T745" s="46"/>
      <c r="U745" s="50"/>
      <c r="V745" s="46"/>
    </row>
    <row r="746" spans="2:22" s="27" customFormat="1">
      <c r="B746" s="18"/>
      <c r="C746" s="18"/>
      <c r="D746" s="18"/>
      <c r="E746" s="18"/>
      <c r="F746" s="18"/>
      <c r="G746" s="18"/>
      <c r="H746" s="18"/>
      <c r="I746" s="71"/>
      <c r="J746" s="71"/>
      <c r="K746" s="71"/>
      <c r="L746" s="71"/>
      <c r="M746" s="71"/>
      <c r="N746" s="71"/>
      <c r="O746" s="71"/>
      <c r="P746" s="46"/>
      <c r="Q746" s="46"/>
      <c r="R746" s="46"/>
      <c r="S746" s="46"/>
      <c r="T746" s="46"/>
      <c r="U746" s="50"/>
      <c r="V746" s="46"/>
    </row>
    <row r="747" spans="2:22" s="27" customFormat="1">
      <c r="B747" s="18"/>
      <c r="C747" s="18"/>
      <c r="D747" s="18"/>
      <c r="E747" s="18"/>
      <c r="F747" s="18"/>
      <c r="G747" s="18"/>
      <c r="H747" s="18"/>
      <c r="I747" s="71"/>
      <c r="J747" s="71"/>
      <c r="K747" s="71"/>
      <c r="L747" s="71"/>
      <c r="M747" s="71"/>
      <c r="N747" s="71"/>
      <c r="O747" s="71"/>
      <c r="P747" s="46"/>
      <c r="Q747" s="46"/>
      <c r="R747" s="46"/>
      <c r="S747" s="46"/>
      <c r="T747" s="46"/>
      <c r="U747" s="50"/>
      <c r="V747" s="46"/>
    </row>
    <row r="748" spans="2:22" s="27" customFormat="1">
      <c r="B748" s="18"/>
      <c r="C748" s="18"/>
      <c r="D748" s="18"/>
      <c r="E748" s="18"/>
      <c r="F748" s="18"/>
      <c r="G748" s="18"/>
      <c r="H748" s="18"/>
      <c r="I748" s="71"/>
      <c r="J748" s="71"/>
      <c r="K748" s="71"/>
      <c r="L748" s="71"/>
      <c r="M748" s="71"/>
      <c r="N748" s="71"/>
      <c r="O748" s="71"/>
      <c r="P748" s="46"/>
      <c r="Q748" s="46"/>
      <c r="R748" s="46"/>
      <c r="S748" s="46"/>
      <c r="T748" s="46"/>
      <c r="U748" s="50"/>
      <c r="V748" s="46"/>
    </row>
    <row r="749" spans="2:22" s="27" customFormat="1">
      <c r="B749" s="18"/>
      <c r="C749" s="18"/>
      <c r="D749" s="18"/>
      <c r="E749" s="18"/>
      <c r="F749" s="18"/>
      <c r="G749" s="18"/>
      <c r="H749" s="18"/>
      <c r="I749" s="71"/>
      <c r="J749" s="71"/>
      <c r="K749" s="71"/>
      <c r="L749" s="71"/>
      <c r="M749" s="71"/>
      <c r="N749" s="71"/>
      <c r="O749" s="71"/>
      <c r="P749" s="46"/>
      <c r="Q749" s="46"/>
      <c r="R749" s="46"/>
      <c r="S749" s="46"/>
      <c r="T749" s="46"/>
      <c r="U749" s="50"/>
      <c r="V749" s="46"/>
    </row>
    <row r="750" spans="2:22" s="27" customFormat="1">
      <c r="B750" s="18"/>
      <c r="C750" s="18"/>
      <c r="D750" s="18"/>
      <c r="E750" s="18"/>
      <c r="F750" s="18"/>
      <c r="G750" s="18"/>
      <c r="H750" s="18"/>
      <c r="I750" s="71"/>
      <c r="J750" s="71"/>
      <c r="K750" s="71"/>
      <c r="L750" s="71"/>
      <c r="M750" s="71"/>
      <c r="N750" s="71"/>
      <c r="O750" s="71"/>
      <c r="P750" s="46"/>
      <c r="Q750" s="46"/>
      <c r="R750" s="46"/>
      <c r="S750" s="46"/>
      <c r="T750" s="46"/>
      <c r="U750" s="50"/>
      <c r="V750" s="46"/>
    </row>
    <row r="751" spans="2:22" s="27" customFormat="1">
      <c r="B751" s="18"/>
      <c r="C751" s="18"/>
      <c r="D751" s="18"/>
      <c r="E751" s="18"/>
      <c r="F751" s="18"/>
      <c r="G751" s="18"/>
      <c r="H751" s="18"/>
      <c r="I751" s="71"/>
      <c r="J751" s="71"/>
      <c r="K751" s="71"/>
      <c r="L751" s="71"/>
      <c r="M751" s="71"/>
      <c r="N751" s="71"/>
      <c r="O751" s="71"/>
      <c r="P751" s="46"/>
      <c r="Q751" s="46"/>
      <c r="R751" s="46"/>
      <c r="S751" s="46"/>
      <c r="T751" s="46"/>
      <c r="U751" s="50"/>
      <c r="V751" s="46"/>
    </row>
    <row r="752" spans="2:22" s="27" customFormat="1">
      <c r="B752" s="18"/>
      <c r="C752" s="18"/>
      <c r="D752" s="18"/>
      <c r="E752" s="18"/>
      <c r="F752" s="18"/>
      <c r="G752" s="18"/>
      <c r="H752" s="18"/>
      <c r="I752" s="71"/>
      <c r="J752" s="71"/>
      <c r="K752" s="71"/>
      <c r="L752" s="71"/>
      <c r="M752" s="71"/>
      <c r="N752" s="71"/>
      <c r="O752" s="71"/>
      <c r="P752" s="46"/>
      <c r="Q752" s="46"/>
      <c r="R752" s="46"/>
      <c r="S752" s="46"/>
      <c r="T752" s="46"/>
      <c r="U752" s="50"/>
      <c r="V752" s="46"/>
    </row>
    <row r="753" spans="2:22" s="27" customFormat="1">
      <c r="B753" s="18"/>
      <c r="C753" s="18"/>
      <c r="D753" s="18"/>
      <c r="E753" s="18"/>
      <c r="F753" s="18"/>
      <c r="G753" s="18"/>
      <c r="H753" s="18"/>
      <c r="I753" s="71"/>
      <c r="J753" s="71"/>
      <c r="K753" s="71"/>
      <c r="L753" s="71"/>
      <c r="M753" s="71"/>
      <c r="N753" s="71"/>
      <c r="O753" s="71"/>
      <c r="P753" s="46"/>
      <c r="Q753" s="46"/>
      <c r="R753" s="46"/>
      <c r="S753" s="46"/>
      <c r="T753" s="46"/>
      <c r="U753" s="50"/>
      <c r="V753" s="46"/>
    </row>
    <row r="754" spans="2:22" s="27" customFormat="1">
      <c r="B754" s="18"/>
      <c r="C754" s="18"/>
      <c r="D754" s="18"/>
      <c r="E754" s="18"/>
      <c r="F754" s="18"/>
      <c r="G754" s="18"/>
      <c r="H754" s="18"/>
      <c r="I754" s="71"/>
      <c r="J754" s="71"/>
      <c r="K754" s="71"/>
      <c r="L754" s="71"/>
      <c r="M754" s="71"/>
      <c r="N754" s="71"/>
      <c r="O754" s="71"/>
      <c r="P754" s="46"/>
      <c r="Q754" s="46"/>
      <c r="R754" s="46"/>
      <c r="S754" s="46"/>
      <c r="T754" s="46"/>
      <c r="U754" s="50"/>
      <c r="V754" s="46"/>
    </row>
    <row r="755" spans="2:22" s="27" customFormat="1">
      <c r="B755" s="18"/>
      <c r="C755" s="18"/>
      <c r="D755" s="18"/>
      <c r="E755" s="18"/>
      <c r="F755" s="18"/>
      <c r="G755" s="18"/>
      <c r="H755" s="18"/>
      <c r="I755" s="71"/>
      <c r="J755" s="71"/>
      <c r="K755" s="71"/>
      <c r="L755" s="71"/>
      <c r="M755" s="71"/>
      <c r="N755" s="71"/>
      <c r="O755" s="71"/>
      <c r="P755" s="46"/>
      <c r="Q755" s="46"/>
      <c r="R755" s="46"/>
      <c r="S755" s="46"/>
      <c r="T755" s="46"/>
      <c r="U755" s="50"/>
      <c r="V755" s="46"/>
    </row>
    <row r="756" spans="2:22" s="27" customFormat="1">
      <c r="B756" s="18"/>
      <c r="C756" s="18"/>
      <c r="D756" s="18"/>
      <c r="E756" s="18"/>
      <c r="F756" s="18"/>
      <c r="G756" s="18"/>
      <c r="H756" s="18"/>
      <c r="I756" s="71"/>
      <c r="J756" s="71"/>
      <c r="K756" s="71"/>
      <c r="L756" s="71"/>
      <c r="M756" s="71"/>
      <c r="N756" s="71"/>
      <c r="O756" s="71"/>
      <c r="P756" s="46"/>
      <c r="Q756" s="46"/>
      <c r="R756" s="46"/>
      <c r="S756" s="46"/>
      <c r="T756" s="46"/>
      <c r="U756" s="50"/>
      <c r="V756" s="46"/>
    </row>
    <row r="757" spans="2:22" s="27" customFormat="1">
      <c r="B757" s="18"/>
      <c r="C757" s="18"/>
      <c r="D757" s="18"/>
      <c r="E757" s="18"/>
      <c r="F757" s="18"/>
      <c r="G757" s="18"/>
      <c r="H757" s="18"/>
      <c r="I757" s="71"/>
      <c r="J757" s="71"/>
      <c r="K757" s="71"/>
      <c r="L757" s="71"/>
      <c r="M757" s="71"/>
      <c r="N757" s="71"/>
      <c r="O757" s="71"/>
      <c r="P757" s="46"/>
      <c r="Q757" s="46"/>
      <c r="R757" s="46"/>
      <c r="S757" s="46"/>
      <c r="T757" s="46"/>
      <c r="U757" s="50"/>
      <c r="V757" s="46"/>
    </row>
    <row r="758" spans="2:22" s="27" customFormat="1">
      <c r="B758" s="18"/>
      <c r="C758" s="18"/>
      <c r="D758" s="18"/>
      <c r="E758" s="18"/>
      <c r="F758" s="18"/>
      <c r="G758" s="18"/>
      <c r="H758" s="18"/>
      <c r="I758" s="71"/>
      <c r="J758" s="71"/>
      <c r="K758" s="71"/>
      <c r="L758" s="71"/>
      <c r="M758" s="71"/>
      <c r="N758" s="71"/>
      <c r="O758" s="71"/>
      <c r="P758" s="46"/>
      <c r="Q758" s="46"/>
      <c r="R758" s="46"/>
      <c r="S758" s="46"/>
      <c r="T758" s="46"/>
      <c r="U758" s="50"/>
      <c r="V758" s="46"/>
    </row>
    <row r="759" spans="2:22" s="27" customFormat="1">
      <c r="B759" s="18"/>
      <c r="C759" s="18"/>
      <c r="D759" s="18"/>
      <c r="E759" s="18"/>
      <c r="F759" s="18"/>
      <c r="G759" s="18"/>
      <c r="H759" s="18"/>
      <c r="I759" s="71"/>
      <c r="J759" s="71"/>
      <c r="K759" s="71"/>
      <c r="L759" s="71"/>
      <c r="M759" s="71"/>
      <c r="N759" s="71"/>
      <c r="O759" s="71"/>
      <c r="P759" s="46"/>
      <c r="Q759" s="46"/>
      <c r="R759" s="46"/>
      <c r="S759" s="46"/>
      <c r="T759" s="46"/>
      <c r="U759" s="50"/>
      <c r="V759" s="46"/>
    </row>
    <row r="760" spans="2:22" s="27" customFormat="1">
      <c r="B760" s="18"/>
      <c r="C760" s="18"/>
      <c r="D760" s="18"/>
      <c r="E760" s="18"/>
      <c r="F760" s="18"/>
      <c r="G760" s="18"/>
      <c r="H760" s="18"/>
      <c r="I760" s="71"/>
      <c r="J760" s="71"/>
      <c r="K760" s="71"/>
      <c r="L760" s="71"/>
      <c r="M760" s="71"/>
      <c r="N760" s="71"/>
      <c r="O760" s="71"/>
      <c r="P760" s="46"/>
      <c r="Q760" s="46"/>
      <c r="R760" s="46"/>
      <c r="S760" s="46"/>
      <c r="T760" s="46"/>
      <c r="U760" s="50"/>
      <c r="V760" s="46"/>
    </row>
    <row r="761" spans="2:22" s="27" customFormat="1">
      <c r="B761" s="18"/>
      <c r="C761" s="18"/>
      <c r="D761" s="18"/>
      <c r="E761" s="18"/>
      <c r="F761" s="18"/>
      <c r="G761" s="18"/>
      <c r="H761" s="18"/>
      <c r="I761" s="71"/>
      <c r="J761" s="71"/>
      <c r="K761" s="71"/>
      <c r="L761" s="71"/>
      <c r="M761" s="71"/>
      <c r="N761" s="71"/>
      <c r="O761" s="71"/>
      <c r="P761" s="46"/>
      <c r="Q761" s="46"/>
      <c r="R761" s="46"/>
      <c r="S761" s="46"/>
      <c r="T761" s="46"/>
      <c r="U761" s="50"/>
      <c r="V761" s="46"/>
    </row>
    <row r="762" spans="2:22" s="27" customFormat="1">
      <c r="B762" s="18"/>
      <c r="C762" s="18"/>
      <c r="D762" s="18"/>
      <c r="E762" s="18"/>
      <c r="F762" s="18"/>
      <c r="G762" s="18"/>
      <c r="H762" s="18"/>
      <c r="I762" s="71"/>
      <c r="J762" s="71"/>
      <c r="K762" s="71"/>
      <c r="L762" s="71"/>
      <c r="M762" s="71"/>
      <c r="N762" s="71"/>
      <c r="O762" s="71"/>
      <c r="P762" s="46"/>
      <c r="Q762" s="46"/>
      <c r="R762" s="46"/>
      <c r="S762" s="46"/>
      <c r="T762" s="46"/>
      <c r="U762" s="50"/>
      <c r="V762" s="46"/>
    </row>
    <row r="763" spans="2:22" s="27" customFormat="1">
      <c r="B763" s="18"/>
      <c r="C763" s="18"/>
      <c r="D763" s="18"/>
      <c r="E763" s="18"/>
      <c r="F763" s="18"/>
      <c r="G763" s="18"/>
      <c r="H763" s="18"/>
      <c r="I763" s="71"/>
      <c r="J763" s="71"/>
      <c r="K763" s="71"/>
      <c r="L763" s="71"/>
      <c r="M763" s="71"/>
      <c r="N763" s="71"/>
      <c r="O763" s="71"/>
      <c r="P763" s="46"/>
      <c r="Q763" s="46"/>
      <c r="R763" s="46"/>
      <c r="S763" s="46"/>
      <c r="T763" s="46"/>
      <c r="U763" s="50"/>
      <c r="V763" s="46"/>
    </row>
    <row r="764" spans="2:22" s="27" customFormat="1">
      <c r="B764" s="18"/>
      <c r="C764" s="18"/>
      <c r="D764" s="18"/>
      <c r="E764" s="18"/>
      <c r="F764" s="18"/>
      <c r="G764" s="18"/>
      <c r="H764" s="18"/>
      <c r="I764" s="71"/>
      <c r="J764" s="71"/>
      <c r="K764" s="71"/>
      <c r="L764" s="71"/>
      <c r="M764" s="71"/>
      <c r="N764" s="71"/>
      <c r="O764" s="71"/>
      <c r="P764" s="46"/>
      <c r="Q764" s="46"/>
      <c r="R764" s="46"/>
      <c r="S764" s="46"/>
      <c r="T764" s="46"/>
      <c r="U764" s="50"/>
      <c r="V764" s="46"/>
    </row>
    <row r="765" spans="2:22" s="27" customFormat="1">
      <c r="B765" s="18"/>
      <c r="C765" s="18"/>
      <c r="D765" s="18"/>
      <c r="E765" s="18"/>
      <c r="F765" s="18"/>
      <c r="G765" s="18"/>
      <c r="H765" s="18"/>
      <c r="I765" s="71"/>
      <c r="J765" s="71"/>
      <c r="K765" s="71"/>
      <c r="L765" s="71"/>
      <c r="M765" s="71"/>
      <c r="N765" s="71"/>
      <c r="O765" s="71"/>
      <c r="P765" s="46"/>
      <c r="Q765" s="46"/>
      <c r="R765" s="46"/>
      <c r="S765" s="46"/>
      <c r="T765" s="46"/>
      <c r="U765" s="50"/>
      <c r="V765" s="46"/>
    </row>
    <row r="766" spans="2:22" s="27" customFormat="1">
      <c r="B766" s="18"/>
      <c r="C766" s="18"/>
      <c r="D766" s="18"/>
      <c r="E766" s="18"/>
      <c r="F766" s="18"/>
      <c r="G766" s="18"/>
      <c r="H766" s="18"/>
      <c r="I766" s="71"/>
      <c r="J766" s="71"/>
      <c r="K766" s="71"/>
      <c r="L766" s="71"/>
      <c r="M766" s="71"/>
      <c r="N766" s="71"/>
      <c r="O766" s="71"/>
      <c r="P766" s="46"/>
      <c r="Q766" s="46"/>
      <c r="R766" s="46"/>
      <c r="S766" s="46"/>
      <c r="T766" s="46"/>
      <c r="U766" s="50"/>
      <c r="V766" s="46"/>
    </row>
    <row r="767" spans="2:22" s="27" customFormat="1">
      <c r="B767" s="18"/>
      <c r="C767" s="18"/>
      <c r="D767" s="18"/>
      <c r="E767" s="18"/>
      <c r="F767" s="18"/>
      <c r="G767" s="18"/>
      <c r="H767" s="18"/>
      <c r="I767" s="71"/>
      <c r="J767" s="71"/>
      <c r="K767" s="71"/>
      <c r="L767" s="71"/>
      <c r="M767" s="71"/>
      <c r="N767" s="71"/>
      <c r="O767" s="71"/>
      <c r="P767" s="46"/>
      <c r="Q767" s="46"/>
      <c r="R767" s="46"/>
      <c r="S767" s="46"/>
      <c r="T767" s="46"/>
      <c r="U767" s="50"/>
      <c r="V767" s="46"/>
    </row>
    <row r="768" spans="2:22" s="27" customFormat="1">
      <c r="B768" s="18"/>
      <c r="C768" s="18"/>
      <c r="D768" s="18"/>
      <c r="E768" s="18"/>
      <c r="F768" s="18"/>
      <c r="G768" s="18"/>
      <c r="H768" s="18"/>
      <c r="I768" s="71"/>
      <c r="J768" s="71"/>
      <c r="K768" s="71"/>
      <c r="L768" s="71"/>
      <c r="M768" s="71"/>
      <c r="N768" s="71"/>
      <c r="O768" s="71"/>
      <c r="P768" s="46"/>
      <c r="Q768" s="46"/>
      <c r="R768" s="46"/>
      <c r="S768" s="46"/>
      <c r="T768" s="46"/>
      <c r="U768" s="50"/>
      <c r="V768" s="46"/>
    </row>
    <row r="769" spans="2:22" s="27" customFormat="1">
      <c r="B769" s="18"/>
      <c r="C769" s="18"/>
      <c r="D769" s="18"/>
      <c r="E769" s="18"/>
      <c r="F769" s="18"/>
      <c r="G769" s="18"/>
      <c r="H769" s="18"/>
      <c r="I769" s="71"/>
      <c r="J769" s="71"/>
      <c r="K769" s="71"/>
      <c r="L769" s="71"/>
      <c r="M769" s="71"/>
      <c r="N769" s="71"/>
      <c r="O769" s="71"/>
      <c r="P769" s="46"/>
      <c r="Q769" s="46"/>
      <c r="R769" s="46"/>
      <c r="S769" s="46"/>
      <c r="T769" s="46"/>
      <c r="U769" s="50"/>
      <c r="V769" s="46"/>
    </row>
    <row r="770" spans="2:22" s="27" customFormat="1">
      <c r="B770" s="18"/>
      <c r="C770" s="18"/>
      <c r="D770" s="18"/>
      <c r="E770" s="18"/>
      <c r="F770" s="18"/>
      <c r="G770" s="18"/>
      <c r="H770" s="18"/>
      <c r="I770" s="71"/>
      <c r="J770" s="71"/>
      <c r="K770" s="71"/>
      <c r="L770" s="71"/>
      <c r="M770" s="71"/>
      <c r="N770" s="71"/>
      <c r="O770" s="71"/>
      <c r="P770" s="46"/>
      <c r="Q770" s="46"/>
      <c r="R770" s="46"/>
      <c r="S770" s="46"/>
      <c r="T770" s="46"/>
      <c r="U770" s="50"/>
      <c r="V770" s="46"/>
    </row>
    <row r="771" spans="2:22" s="27" customFormat="1">
      <c r="B771" s="18"/>
      <c r="C771" s="18"/>
      <c r="D771" s="18"/>
      <c r="E771" s="18"/>
      <c r="F771" s="18"/>
      <c r="G771" s="18"/>
      <c r="H771" s="18"/>
      <c r="I771" s="71"/>
      <c r="J771" s="71"/>
      <c r="K771" s="71"/>
      <c r="L771" s="71"/>
      <c r="M771" s="71"/>
      <c r="N771" s="71"/>
      <c r="O771" s="71"/>
      <c r="P771" s="46"/>
      <c r="Q771" s="46"/>
      <c r="R771" s="46"/>
      <c r="S771" s="46"/>
      <c r="T771" s="46"/>
      <c r="U771" s="50"/>
      <c r="V771" s="46"/>
    </row>
    <row r="772" spans="2:22" s="27" customFormat="1">
      <c r="B772" s="18"/>
      <c r="C772" s="18"/>
      <c r="D772" s="18"/>
      <c r="E772" s="18"/>
      <c r="F772" s="18"/>
      <c r="G772" s="18"/>
      <c r="H772" s="18"/>
      <c r="I772" s="71"/>
      <c r="J772" s="71"/>
      <c r="K772" s="71"/>
      <c r="L772" s="71"/>
      <c r="M772" s="71"/>
      <c r="N772" s="71"/>
      <c r="O772" s="71"/>
      <c r="P772" s="46"/>
      <c r="Q772" s="46"/>
      <c r="R772" s="46"/>
      <c r="S772" s="46"/>
      <c r="T772" s="46"/>
      <c r="U772" s="50"/>
      <c r="V772" s="46"/>
    </row>
    <row r="773" spans="2:22" s="27" customFormat="1">
      <c r="B773" s="18"/>
      <c r="C773" s="18"/>
      <c r="D773" s="18"/>
      <c r="E773" s="18"/>
      <c r="F773" s="18"/>
      <c r="G773" s="18"/>
      <c r="H773" s="18"/>
      <c r="I773" s="71"/>
      <c r="J773" s="71"/>
      <c r="K773" s="71"/>
      <c r="L773" s="71"/>
      <c r="M773" s="71"/>
      <c r="N773" s="71"/>
      <c r="O773" s="71"/>
      <c r="P773" s="46"/>
      <c r="Q773" s="46"/>
      <c r="R773" s="46"/>
      <c r="S773" s="46"/>
      <c r="T773" s="46"/>
      <c r="U773" s="50"/>
      <c r="V773" s="46"/>
    </row>
    <row r="774" spans="2:22" s="27" customFormat="1">
      <c r="B774" s="18"/>
      <c r="C774" s="18"/>
      <c r="D774" s="18"/>
      <c r="E774" s="18"/>
      <c r="F774" s="18"/>
      <c r="G774" s="18"/>
      <c r="H774" s="18"/>
      <c r="I774" s="71"/>
      <c r="J774" s="71"/>
      <c r="K774" s="71"/>
      <c r="L774" s="71"/>
      <c r="M774" s="71"/>
      <c r="N774" s="71"/>
      <c r="O774" s="71"/>
      <c r="P774" s="46"/>
      <c r="Q774" s="46"/>
      <c r="R774" s="46"/>
      <c r="S774" s="46"/>
      <c r="T774" s="46"/>
      <c r="U774" s="50"/>
      <c r="V774" s="46"/>
    </row>
    <row r="775" spans="2:22" s="27" customFormat="1">
      <c r="B775" s="18"/>
      <c r="C775" s="18"/>
      <c r="D775" s="18"/>
      <c r="E775" s="18"/>
      <c r="F775" s="18"/>
      <c r="G775" s="18"/>
      <c r="H775" s="18"/>
      <c r="I775" s="71"/>
      <c r="J775" s="71"/>
      <c r="K775" s="71"/>
      <c r="L775" s="71"/>
      <c r="M775" s="71"/>
      <c r="N775" s="71"/>
      <c r="O775" s="71"/>
      <c r="P775" s="46"/>
      <c r="Q775" s="46"/>
      <c r="R775" s="46"/>
      <c r="S775" s="46"/>
      <c r="T775" s="46"/>
      <c r="U775" s="50"/>
      <c r="V775" s="46"/>
    </row>
    <row r="776" spans="2:22" s="27" customFormat="1">
      <c r="B776" s="18"/>
      <c r="C776" s="18"/>
      <c r="D776" s="18"/>
      <c r="E776" s="18"/>
      <c r="F776" s="18"/>
      <c r="G776" s="18"/>
      <c r="H776" s="18"/>
      <c r="I776" s="71"/>
      <c r="J776" s="71"/>
      <c r="K776" s="71"/>
      <c r="L776" s="71"/>
      <c r="M776" s="71"/>
      <c r="N776" s="71"/>
      <c r="O776" s="71"/>
      <c r="P776" s="46"/>
      <c r="Q776" s="46"/>
      <c r="R776" s="46"/>
      <c r="S776" s="46"/>
      <c r="T776" s="46"/>
      <c r="U776" s="50"/>
      <c r="V776" s="46"/>
    </row>
    <row r="777" spans="2:22" s="27" customFormat="1">
      <c r="B777" s="18"/>
      <c r="C777" s="18"/>
      <c r="D777" s="18"/>
      <c r="E777" s="18"/>
      <c r="F777" s="18"/>
      <c r="G777" s="18"/>
      <c r="H777" s="18"/>
      <c r="I777" s="71"/>
      <c r="J777" s="71"/>
      <c r="K777" s="71"/>
      <c r="L777" s="71"/>
      <c r="M777" s="71"/>
      <c r="N777" s="71"/>
      <c r="O777" s="71"/>
      <c r="P777" s="46"/>
      <c r="Q777" s="46"/>
      <c r="R777" s="46"/>
      <c r="S777" s="46"/>
      <c r="T777" s="46"/>
      <c r="U777" s="50"/>
      <c r="V777" s="46"/>
    </row>
    <row r="778" spans="2:22" s="27" customFormat="1">
      <c r="B778" s="18"/>
      <c r="C778" s="18"/>
      <c r="D778" s="18"/>
      <c r="E778" s="18"/>
      <c r="F778" s="18"/>
      <c r="G778" s="18"/>
      <c r="H778" s="18"/>
      <c r="I778" s="71"/>
      <c r="J778" s="71"/>
      <c r="K778" s="71"/>
      <c r="L778" s="71"/>
      <c r="M778" s="71"/>
      <c r="N778" s="71"/>
      <c r="O778" s="71"/>
      <c r="P778" s="46"/>
      <c r="Q778" s="46"/>
      <c r="R778" s="46"/>
      <c r="S778" s="46"/>
      <c r="T778" s="46"/>
      <c r="U778" s="50"/>
      <c r="V778" s="46"/>
    </row>
    <row r="779" spans="2:22" s="27" customFormat="1">
      <c r="B779" s="18"/>
      <c r="C779" s="18"/>
      <c r="D779" s="18"/>
      <c r="E779" s="18"/>
      <c r="F779" s="18"/>
      <c r="G779" s="18"/>
      <c r="H779" s="18"/>
      <c r="I779" s="71"/>
      <c r="J779" s="71"/>
      <c r="K779" s="71"/>
      <c r="L779" s="71"/>
      <c r="M779" s="71"/>
      <c r="N779" s="71"/>
      <c r="O779" s="71"/>
      <c r="P779" s="46"/>
      <c r="Q779" s="46"/>
      <c r="R779" s="46"/>
      <c r="S779" s="46"/>
      <c r="T779" s="46"/>
      <c r="U779" s="50"/>
      <c r="V779" s="46"/>
    </row>
    <row r="780" spans="2:22" s="27" customFormat="1">
      <c r="B780" s="18"/>
      <c r="C780" s="18"/>
      <c r="D780" s="18"/>
      <c r="E780" s="18"/>
      <c r="F780" s="18"/>
      <c r="G780" s="18"/>
      <c r="H780" s="18"/>
      <c r="I780" s="71"/>
      <c r="J780" s="71"/>
      <c r="K780" s="71"/>
      <c r="L780" s="71"/>
      <c r="M780" s="71"/>
      <c r="N780" s="71"/>
      <c r="O780" s="71"/>
      <c r="P780" s="46"/>
      <c r="Q780" s="46"/>
      <c r="R780" s="46"/>
      <c r="S780" s="46"/>
      <c r="T780" s="46"/>
      <c r="U780" s="50"/>
      <c r="V780" s="46"/>
    </row>
    <row r="781" spans="2:22" s="27" customFormat="1">
      <c r="B781" s="18"/>
      <c r="C781" s="18"/>
      <c r="D781" s="18"/>
      <c r="E781" s="18"/>
      <c r="F781" s="18"/>
      <c r="G781" s="18"/>
      <c r="H781" s="18"/>
      <c r="I781" s="71"/>
      <c r="J781" s="71"/>
      <c r="K781" s="71"/>
      <c r="L781" s="71"/>
      <c r="M781" s="71"/>
      <c r="N781" s="71"/>
      <c r="O781" s="71"/>
      <c r="P781" s="46"/>
      <c r="Q781" s="46"/>
      <c r="R781" s="46"/>
      <c r="S781" s="46"/>
      <c r="T781" s="46"/>
      <c r="U781" s="50"/>
      <c r="V781" s="46"/>
    </row>
    <row r="782" spans="2:22" s="27" customFormat="1">
      <c r="B782" s="18"/>
      <c r="C782" s="18"/>
      <c r="D782" s="18"/>
      <c r="E782" s="18"/>
      <c r="F782" s="18"/>
      <c r="G782" s="18"/>
      <c r="H782" s="18"/>
      <c r="I782" s="71"/>
      <c r="J782" s="71"/>
      <c r="K782" s="71"/>
      <c r="L782" s="71"/>
      <c r="M782" s="71"/>
      <c r="N782" s="71"/>
      <c r="O782" s="71"/>
      <c r="P782" s="46"/>
      <c r="Q782" s="46"/>
      <c r="R782" s="46"/>
      <c r="S782" s="46"/>
      <c r="T782" s="46"/>
      <c r="U782" s="50"/>
      <c r="V782" s="46"/>
    </row>
    <row r="783" spans="2:22" s="27" customFormat="1">
      <c r="B783" s="18"/>
      <c r="C783" s="18"/>
      <c r="D783" s="18"/>
      <c r="E783" s="18"/>
      <c r="F783" s="18"/>
      <c r="G783" s="18"/>
      <c r="H783" s="18"/>
      <c r="I783" s="71"/>
      <c r="J783" s="71"/>
      <c r="K783" s="71"/>
      <c r="L783" s="71"/>
      <c r="M783" s="71"/>
      <c r="N783" s="71"/>
      <c r="O783" s="71"/>
      <c r="P783" s="46"/>
      <c r="Q783" s="46"/>
      <c r="R783" s="46"/>
      <c r="S783" s="46"/>
      <c r="T783" s="46"/>
      <c r="U783" s="50"/>
      <c r="V783" s="46"/>
    </row>
    <row r="784" spans="2:22" s="27" customFormat="1">
      <c r="B784" s="18"/>
      <c r="C784" s="18"/>
      <c r="D784" s="18"/>
      <c r="E784" s="18"/>
      <c r="F784" s="18"/>
      <c r="G784" s="18"/>
      <c r="H784" s="18"/>
      <c r="I784" s="71"/>
      <c r="J784" s="71"/>
      <c r="K784" s="71"/>
      <c r="L784" s="71"/>
      <c r="M784" s="71"/>
      <c r="N784" s="71"/>
      <c r="O784" s="71"/>
      <c r="P784" s="46"/>
      <c r="Q784" s="46"/>
      <c r="R784" s="46"/>
      <c r="S784" s="46"/>
      <c r="T784" s="46"/>
      <c r="U784" s="50"/>
      <c r="V784" s="46"/>
    </row>
    <row r="785" spans="2:22" s="27" customFormat="1">
      <c r="B785" s="18"/>
      <c r="C785" s="18"/>
      <c r="D785" s="18"/>
      <c r="E785" s="18"/>
      <c r="F785" s="18"/>
      <c r="G785" s="18"/>
      <c r="H785" s="18"/>
      <c r="I785" s="71"/>
      <c r="J785" s="71"/>
      <c r="K785" s="71"/>
      <c r="L785" s="71"/>
      <c r="M785" s="71"/>
      <c r="N785" s="71"/>
      <c r="O785" s="71"/>
      <c r="P785" s="46"/>
      <c r="Q785" s="46"/>
      <c r="R785" s="46"/>
      <c r="S785" s="46"/>
      <c r="T785" s="46"/>
      <c r="U785" s="50"/>
      <c r="V785" s="46"/>
    </row>
    <row r="786" spans="2:22" s="27" customFormat="1">
      <c r="B786" s="18"/>
      <c r="C786" s="18"/>
      <c r="D786" s="18"/>
      <c r="E786" s="18"/>
      <c r="F786" s="18"/>
      <c r="G786" s="18"/>
      <c r="H786" s="18"/>
      <c r="I786" s="71"/>
      <c r="J786" s="71"/>
      <c r="K786" s="71"/>
      <c r="L786" s="71"/>
      <c r="M786" s="71"/>
      <c r="N786" s="71"/>
      <c r="O786" s="71"/>
      <c r="P786" s="46"/>
      <c r="Q786" s="46"/>
      <c r="R786" s="46"/>
      <c r="S786" s="46"/>
      <c r="T786" s="46"/>
      <c r="U786" s="50"/>
      <c r="V786" s="46"/>
    </row>
    <row r="787" spans="2:22" s="27" customFormat="1">
      <c r="B787" s="18"/>
      <c r="C787" s="18"/>
      <c r="D787" s="18"/>
      <c r="E787" s="18"/>
      <c r="F787" s="18"/>
      <c r="G787" s="18"/>
      <c r="H787" s="18"/>
      <c r="I787" s="71"/>
      <c r="J787" s="71"/>
      <c r="K787" s="71"/>
      <c r="L787" s="71"/>
      <c r="M787" s="71"/>
      <c r="N787" s="71"/>
      <c r="O787" s="71"/>
      <c r="P787" s="46"/>
      <c r="Q787" s="46"/>
      <c r="R787" s="46"/>
      <c r="S787" s="46"/>
      <c r="T787" s="46"/>
      <c r="U787" s="50"/>
      <c r="V787" s="46"/>
    </row>
    <row r="788" spans="2:22" s="27" customFormat="1">
      <c r="B788" s="18"/>
      <c r="C788" s="18"/>
      <c r="D788" s="18"/>
      <c r="E788" s="18"/>
      <c r="F788" s="18"/>
      <c r="G788" s="18"/>
      <c r="H788" s="18"/>
      <c r="I788" s="71"/>
      <c r="J788" s="71"/>
      <c r="K788" s="71"/>
      <c r="L788" s="71"/>
      <c r="M788" s="71"/>
      <c r="N788" s="71"/>
      <c r="O788" s="71"/>
      <c r="P788" s="46"/>
      <c r="Q788" s="46"/>
      <c r="R788" s="46"/>
      <c r="S788" s="46"/>
      <c r="T788" s="46"/>
      <c r="U788" s="50"/>
      <c r="V788" s="46"/>
    </row>
    <row r="789" spans="2:22" s="27" customFormat="1">
      <c r="B789" s="18"/>
      <c r="C789" s="18"/>
      <c r="D789" s="18"/>
      <c r="E789" s="18"/>
      <c r="F789" s="18"/>
      <c r="G789" s="18"/>
      <c r="H789" s="18"/>
      <c r="I789" s="71"/>
      <c r="J789" s="71"/>
      <c r="K789" s="71"/>
      <c r="L789" s="71"/>
      <c r="M789" s="71"/>
      <c r="N789" s="71"/>
      <c r="O789" s="71"/>
      <c r="P789" s="46"/>
      <c r="Q789" s="46"/>
      <c r="R789" s="46"/>
      <c r="S789" s="46"/>
      <c r="T789" s="46"/>
      <c r="U789" s="50"/>
      <c r="V789" s="46"/>
    </row>
    <row r="790" spans="2:22" s="27" customFormat="1">
      <c r="B790" s="18"/>
      <c r="C790" s="18"/>
      <c r="D790" s="18"/>
      <c r="E790" s="18"/>
      <c r="F790" s="18"/>
      <c r="G790" s="18"/>
      <c r="H790" s="18"/>
      <c r="I790" s="71"/>
      <c r="J790" s="71"/>
      <c r="K790" s="71"/>
      <c r="L790" s="71"/>
      <c r="M790" s="71"/>
      <c r="N790" s="71"/>
      <c r="O790" s="71"/>
      <c r="P790" s="46"/>
      <c r="Q790" s="46"/>
      <c r="R790" s="46"/>
      <c r="S790" s="46"/>
      <c r="T790" s="46"/>
      <c r="U790" s="50"/>
      <c r="V790" s="46"/>
    </row>
    <row r="791" spans="2:22" s="27" customFormat="1">
      <c r="B791" s="18"/>
      <c r="C791" s="18"/>
      <c r="D791" s="18"/>
      <c r="E791" s="18"/>
      <c r="F791" s="18"/>
      <c r="G791" s="18"/>
      <c r="H791" s="18"/>
      <c r="I791" s="71"/>
      <c r="J791" s="71"/>
      <c r="K791" s="71"/>
      <c r="L791" s="71"/>
      <c r="M791" s="71"/>
      <c r="N791" s="71"/>
      <c r="O791" s="71"/>
      <c r="P791" s="46"/>
      <c r="Q791" s="46"/>
      <c r="R791" s="46"/>
      <c r="S791" s="46"/>
      <c r="T791" s="46"/>
      <c r="U791" s="50"/>
      <c r="V791" s="46"/>
    </row>
    <row r="792" spans="2:22" s="27" customFormat="1">
      <c r="B792" s="18"/>
      <c r="C792" s="18"/>
      <c r="D792" s="18"/>
      <c r="E792" s="18"/>
      <c r="F792" s="18"/>
      <c r="G792" s="18"/>
      <c r="H792" s="18"/>
      <c r="I792" s="71"/>
      <c r="J792" s="71"/>
      <c r="K792" s="71"/>
      <c r="L792" s="71"/>
      <c r="M792" s="71"/>
      <c r="N792" s="71"/>
      <c r="O792" s="71"/>
      <c r="P792" s="46"/>
      <c r="Q792" s="46"/>
      <c r="R792" s="46"/>
      <c r="S792" s="46"/>
      <c r="T792" s="46"/>
      <c r="U792" s="50"/>
      <c r="V792" s="46"/>
    </row>
    <row r="793" spans="2:22" s="27" customFormat="1">
      <c r="B793" s="18"/>
      <c r="C793" s="18"/>
      <c r="D793" s="18"/>
      <c r="E793" s="18"/>
      <c r="F793" s="18"/>
      <c r="G793" s="18"/>
      <c r="H793" s="18"/>
      <c r="I793" s="71"/>
      <c r="J793" s="71"/>
      <c r="K793" s="71"/>
      <c r="L793" s="71"/>
      <c r="M793" s="71"/>
      <c r="N793" s="71"/>
      <c r="O793" s="71"/>
      <c r="P793" s="46"/>
      <c r="Q793" s="46"/>
      <c r="R793" s="46"/>
      <c r="S793" s="46"/>
      <c r="T793" s="46"/>
      <c r="U793" s="50"/>
      <c r="V793" s="46"/>
    </row>
    <row r="794" spans="2:22" s="27" customFormat="1">
      <c r="B794" s="18"/>
      <c r="C794" s="18"/>
      <c r="D794" s="18"/>
      <c r="E794" s="18"/>
      <c r="F794" s="18"/>
      <c r="G794" s="18"/>
      <c r="H794" s="18"/>
      <c r="I794" s="71"/>
      <c r="J794" s="71"/>
      <c r="K794" s="71"/>
      <c r="L794" s="71"/>
      <c r="M794" s="71"/>
      <c r="N794" s="71"/>
      <c r="O794" s="71"/>
      <c r="P794" s="46"/>
      <c r="Q794" s="46"/>
      <c r="R794" s="46"/>
      <c r="S794" s="46"/>
      <c r="T794" s="46"/>
      <c r="U794" s="50"/>
      <c r="V794" s="46"/>
    </row>
    <row r="795" spans="2:22" s="27" customFormat="1">
      <c r="B795" s="18"/>
      <c r="C795" s="18"/>
      <c r="D795" s="18"/>
      <c r="E795" s="18"/>
      <c r="F795" s="18"/>
      <c r="G795" s="18"/>
      <c r="H795" s="18"/>
      <c r="I795" s="71"/>
      <c r="J795" s="71"/>
      <c r="K795" s="71"/>
      <c r="L795" s="71"/>
      <c r="M795" s="71"/>
      <c r="N795" s="71"/>
      <c r="O795" s="71"/>
      <c r="P795" s="46"/>
      <c r="Q795" s="46"/>
      <c r="R795" s="46"/>
      <c r="S795" s="46"/>
      <c r="T795" s="46"/>
      <c r="U795" s="50"/>
      <c r="V795" s="46"/>
    </row>
    <row r="796" spans="2:22" s="27" customFormat="1">
      <c r="B796" s="18"/>
      <c r="C796" s="18"/>
      <c r="D796" s="18"/>
      <c r="E796" s="18"/>
      <c r="F796" s="18"/>
      <c r="G796" s="18"/>
      <c r="H796" s="18"/>
      <c r="I796" s="71"/>
      <c r="J796" s="71"/>
      <c r="K796" s="71"/>
      <c r="L796" s="71"/>
      <c r="M796" s="71"/>
      <c r="N796" s="71"/>
      <c r="O796" s="71"/>
      <c r="P796" s="46"/>
      <c r="Q796" s="46"/>
      <c r="R796" s="46"/>
      <c r="S796" s="46"/>
      <c r="T796" s="46"/>
      <c r="U796" s="50"/>
      <c r="V796" s="46"/>
    </row>
    <row r="797" spans="2:22" s="27" customFormat="1">
      <c r="B797" s="18"/>
      <c r="C797" s="18"/>
      <c r="D797" s="18"/>
      <c r="E797" s="18"/>
      <c r="F797" s="18"/>
      <c r="G797" s="18"/>
      <c r="H797" s="18"/>
      <c r="I797" s="71"/>
      <c r="J797" s="71"/>
      <c r="K797" s="71"/>
      <c r="L797" s="71"/>
      <c r="M797" s="71"/>
      <c r="N797" s="71"/>
      <c r="O797" s="71"/>
      <c r="P797" s="46"/>
      <c r="Q797" s="46"/>
      <c r="R797" s="46"/>
      <c r="S797" s="46"/>
      <c r="T797" s="46"/>
      <c r="U797" s="50"/>
      <c r="V797" s="46"/>
    </row>
    <row r="798" spans="2:22" s="27" customFormat="1">
      <c r="B798" s="18"/>
      <c r="C798" s="18"/>
      <c r="D798" s="18"/>
      <c r="E798" s="18"/>
      <c r="F798" s="18"/>
      <c r="G798" s="18"/>
      <c r="H798" s="18"/>
      <c r="I798" s="71"/>
      <c r="J798" s="71"/>
      <c r="K798" s="71"/>
      <c r="L798" s="71"/>
      <c r="M798" s="71"/>
      <c r="N798" s="71"/>
      <c r="O798" s="71"/>
      <c r="P798" s="46"/>
      <c r="Q798" s="46"/>
      <c r="R798" s="46"/>
      <c r="S798" s="46"/>
      <c r="T798" s="46"/>
      <c r="U798" s="50"/>
      <c r="V798" s="46"/>
    </row>
    <row r="799" spans="2:22" s="27" customFormat="1">
      <c r="B799" s="18"/>
      <c r="C799" s="18"/>
      <c r="D799" s="18"/>
      <c r="E799" s="18"/>
      <c r="F799" s="18"/>
      <c r="G799" s="18"/>
      <c r="H799" s="18"/>
      <c r="I799" s="71"/>
      <c r="J799" s="71"/>
      <c r="K799" s="71"/>
      <c r="L799" s="71"/>
      <c r="M799" s="71"/>
      <c r="N799" s="71"/>
      <c r="O799" s="71"/>
      <c r="P799" s="46"/>
      <c r="Q799" s="46"/>
      <c r="R799" s="46"/>
      <c r="S799" s="46"/>
      <c r="T799" s="46"/>
      <c r="U799" s="50"/>
      <c r="V799" s="46"/>
    </row>
    <row r="800" spans="2:22" s="27" customFormat="1">
      <c r="B800" s="18"/>
      <c r="C800" s="18"/>
      <c r="D800" s="18"/>
      <c r="E800" s="18"/>
      <c r="F800" s="18"/>
      <c r="G800" s="18"/>
      <c r="H800" s="18"/>
      <c r="I800" s="71"/>
      <c r="J800" s="71"/>
      <c r="K800" s="71"/>
      <c r="L800" s="71"/>
      <c r="M800" s="71"/>
      <c r="N800" s="71"/>
      <c r="O800" s="71"/>
      <c r="P800" s="46"/>
      <c r="Q800" s="46"/>
      <c r="R800" s="46"/>
      <c r="S800" s="46"/>
      <c r="T800" s="46"/>
      <c r="U800" s="50"/>
      <c r="V800" s="46"/>
    </row>
    <row r="801" spans="2:22" s="27" customFormat="1">
      <c r="B801" s="18"/>
      <c r="C801" s="18"/>
      <c r="D801" s="18"/>
      <c r="E801" s="18"/>
      <c r="F801" s="18"/>
      <c r="G801" s="18"/>
      <c r="H801" s="18"/>
      <c r="I801" s="71"/>
      <c r="J801" s="71"/>
      <c r="K801" s="71"/>
      <c r="L801" s="71"/>
      <c r="M801" s="71"/>
      <c r="N801" s="71"/>
      <c r="O801" s="71"/>
      <c r="P801" s="46"/>
      <c r="Q801" s="46"/>
      <c r="R801" s="46"/>
      <c r="S801" s="46"/>
      <c r="T801" s="46"/>
      <c r="U801" s="50"/>
      <c r="V801" s="46"/>
    </row>
    <row r="802" spans="2:22" s="27" customFormat="1">
      <c r="B802" s="18"/>
      <c r="C802" s="18"/>
      <c r="D802" s="18"/>
      <c r="E802" s="18"/>
      <c r="F802" s="18"/>
      <c r="G802" s="18"/>
      <c r="H802" s="18"/>
      <c r="I802" s="71"/>
      <c r="J802" s="71"/>
      <c r="K802" s="71"/>
      <c r="L802" s="71"/>
      <c r="M802" s="71"/>
      <c r="N802" s="71"/>
      <c r="O802" s="71"/>
      <c r="P802" s="46"/>
      <c r="Q802" s="46"/>
      <c r="R802" s="46"/>
      <c r="S802" s="46"/>
      <c r="T802" s="46"/>
      <c r="U802" s="50"/>
      <c r="V802" s="46"/>
    </row>
    <row r="803" spans="2:22" s="27" customFormat="1">
      <c r="B803" s="18"/>
      <c r="C803" s="18"/>
      <c r="D803" s="18"/>
      <c r="E803" s="18"/>
      <c r="F803" s="18"/>
      <c r="G803" s="18"/>
      <c r="H803" s="18"/>
      <c r="I803" s="71"/>
      <c r="J803" s="71"/>
      <c r="K803" s="71"/>
      <c r="L803" s="71"/>
      <c r="M803" s="71"/>
      <c r="N803" s="71"/>
      <c r="O803" s="71"/>
      <c r="P803" s="46"/>
      <c r="Q803" s="46"/>
      <c r="R803" s="46"/>
      <c r="S803" s="46"/>
      <c r="T803" s="46"/>
      <c r="U803" s="50"/>
      <c r="V803" s="46"/>
    </row>
    <row r="804" spans="2:22" s="27" customFormat="1">
      <c r="B804" s="18"/>
      <c r="C804" s="18"/>
      <c r="D804" s="18"/>
      <c r="E804" s="18"/>
      <c r="F804" s="18"/>
      <c r="G804" s="18"/>
      <c r="H804" s="18"/>
      <c r="I804" s="71"/>
      <c r="J804" s="71"/>
      <c r="K804" s="71"/>
      <c r="L804" s="71"/>
      <c r="M804" s="71"/>
      <c r="N804" s="71"/>
      <c r="O804" s="71"/>
      <c r="P804" s="46"/>
      <c r="Q804" s="46"/>
      <c r="R804" s="46"/>
      <c r="S804" s="46"/>
      <c r="T804" s="46"/>
      <c r="U804" s="50"/>
      <c r="V804" s="46"/>
    </row>
    <row r="805" spans="2:22" s="27" customFormat="1">
      <c r="B805" s="18"/>
      <c r="C805" s="18"/>
      <c r="D805" s="18"/>
      <c r="E805" s="18"/>
      <c r="F805" s="18"/>
      <c r="G805" s="18"/>
      <c r="H805" s="18"/>
      <c r="I805" s="71"/>
      <c r="J805" s="71"/>
      <c r="K805" s="71"/>
      <c r="L805" s="71"/>
      <c r="M805" s="71"/>
      <c r="N805" s="71"/>
      <c r="O805" s="71"/>
      <c r="P805" s="46"/>
      <c r="Q805" s="46"/>
      <c r="R805" s="46"/>
      <c r="S805" s="46"/>
      <c r="T805" s="46"/>
      <c r="U805" s="50"/>
      <c r="V805" s="46"/>
    </row>
    <row r="806" spans="2:22" s="27" customFormat="1">
      <c r="B806" s="18"/>
      <c r="C806" s="18"/>
      <c r="D806" s="18"/>
      <c r="E806" s="18"/>
      <c r="F806" s="18"/>
      <c r="G806" s="18"/>
      <c r="H806" s="18"/>
      <c r="I806" s="71"/>
      <c r="J806" s="71"/>
      <c r="K806" s="71"/>
      <c r="L806" s="71"/>
      <c r="M806" s="71"/>
      <c r="N806" s="71"/>
      <c r="O806" s="71"/>
      <c r="P806" s="46"/>
      <c r="Q806" s="46"/>
      <c r="R806" s="46"/>
      <c r="S806" s="46"/>
      <c r="T806" s="46"/>
      <c r="U806" s="50"/>
      <c r="V806" s="46"/>
    </row>
    <row r="807" spans="2:22" s="27" customFormat="1">
      <c r="B807" s="18"/>
      <c r="C807" s="18"/>
      <c r="D807" s="18"/>
      <c r="E807" s="18"/>
      <c r="F807" s="18"/>
      <c r="G807" s="18"/>
      <c r="H807" s="18"/>
      <c r="I807" s="71"/>
      <c r="J807" s="71"/>
      <c r="K807" s="71"/>
      <c r="L807" s="71"/>
      <c r="M807" s="71"/>
      <c r="N807" s="71"/>
      <c r="O807" s="71"/>
      <c r="P807" s="46"/>
      <c r="Q807" s="46"/>
      <c r="R807" s="46"/>
      <c r="S807" s="46"/>
      <c r="T807" s="46"/>
      <c r="U807" s="50"/>
      <c r="V807" s="46"/>
    </row>
    <row r="808" spans="2:22" s="27" customFormat="1">
      <c r="B808" s="18"/>
      <c r="C808" s="18"/>
      <c r="D808" s="18"/>
      <c r="E808" s="18"/>
      <c r="F808" s="18"/>
      <c r="G808" s="18"/>
      <c r="H808" s="18"/>
      <c r="I808" s="71"/>
      <c r="J808" s="71"/>
      <c r="K808" s="71"/>
      <c r="L808" s="71"/>
      <c r="M808" s="71"/>
      <c r="N808" s="71"/>
      <c r="O808" s="71"/>
      <c r="P808" s="46"/>
      <c r="Q808" s="46"/>
      <c r="R808" s="46"/>
      <c r="S808" s="46"/>
      <c r="T808" s="46"/>
      <c r="U808" s="50"/>
      <c r="V808" s="46"/>
    </row>
    <row r="809" spans="2:22" s="27" customFormat="1">
      <c r="B809" s="18"/>
      <c r="C809" s="18"/>
      <c r="D809" s="18"/>
      <c r="E809" s="18"/>
      <c r="F809" s="18"/>
      <c r="G809" s="18"/>
      <c r="H809" s="18"/>
      <c r="I809" s="71"/>
      <c r="J809" s="71"/>
      <c r="K809" s="71"/>
      <c r="L809" s="71"/>
      <c r="M809" s="71"/>
      <c r="N809" s="71"/>
      <c r="O809" s="71"/>
      <c r="P809" s="46"/>
      <c r="Q809" s="46"/>
      <c r="R809" s="46"/>
      <c r="S809" s="46"/>
      <c r="T809" s="46"/>
      <c r="U809" s="50"/>
      <c r="V809" s="46"/>
    </row>
    <row r="810" spans="2:22" s="27" customFormat="1">
      <c r="B810" s="18"/>
      <c r="C810" s="18"/>
      <c r="D810" s="18"/>
      <c r="E810" s="18"/>
      <c r="F810" s="18"/>
      <c r="G810" s="18"/>
      <c r="H810" s="18"/>
      <c r="I810" s="71"/>
      <c r="J810" s="71"/>
      <c r="K810" s="71"/>
      <c r="L810" s="71"/>
      <c r="M810" s="71"/>
      <c r="N810" s="71"/>
      <c r="O810" s="71"/>
      <c r="P810" s="46"/>
      <c r="Q810" s="46"/>
      <c r="R810" s="46"/>
      <c r="S810" s="46"/>
      <c r="T810" s="46"/>
      <c r="U810" s="50"/>
      <c r="V810" s="46"/>
    </row>
    <row r="811" spans="2:22" s="27" customFormat="1">
      <c r="B811" s="18"/>
      <c r="C811" s="18"/>
      <c r="D811" s="18"/>
      <c r="E811" s="18"/>
      <c r="F811" s="18"/>
      <c r="G811" s="18"/>
      <c r="H811" s="18"/>
      <c r="I811" s="71"/>
      <c r="J811" s="71"/>
      <c r="K811" s="71"/>
      <c r="L811" s="71"/>
      <c r="M811" s="71"/>
      <c r="N811" s="71"/>
      <c r="O811" s="71"/>
      <c r="P811" s="46"/>
      <c r="Q811" s="46"/>
      <c r="R811" s="46"/>
      <c r="S811" s="46"/>
      <c r="T811" s="46"/>
      <c r="U811" s="50"/>
      <c r="V811" s="46"/>
    </row>
    <row r="812" spans="2:22" s="27" customFormat="1">
      <c r="B812" s="18"/>
      <c r="C812" s="18"/>
      <c r="D812" s="18"/>
      <c r="E812" s="18"/>
      <c r="F812" s="18"/>
      <c r="G812" s="18"/>
      <c r="H812" s="18"/>
      <c r="I812" s="71"/>
      <c r="J812" s="71"/>
      <c r="K812" s="71"/>
      <c r="L812" s="71"/>
      <c r="M812" s="71"/>
      <c r="N812" s="71"/>
      <c r="O812" s="71"/>
      <c r="P812" s="46"/>
      <c r="Q812" s="46"/>
      <c r="R812" s="46"/>
      <c r="S812" s="46"/>
      <c r="T812" s="46"/>
      <c r="U812" s="50"/>
      <c r="V812" s="46"/>
    </row>
    <row r="813" spans="2:22" s="27" customFormat="1">
      <c r="B813" s="18"/>
      <c r="C813" s="18"/>
      <c r="D813" s="18"/>
      <c r="E813" s="18"/>
      <c r="F813" s="18"/>
      <c r="G813" s="18"/>
      <c r="H813" s="18"/>
      <c r="I813" s="71"/>
      <c r="J813" s="71"/>
      <c r="K813" s="71"/>
      <c r="L813" s="71"/>
      <c r="M813" s="71"/>
      <c r="N813" s="71"/>
      <c r="O813" s="71"/>
      <c r="P813" s="46"/>
      <c r="Q813" s="46"/>
      <c r="R813" s="46"/>
      <c r="S813" s="46"/>
      <c r="T813" s="46"/>
      <c r="U813" s="50"/>
      <c r="V813" s="46"/>
    </row>
    <row r="814" spans="2:22" s="27" customFormat="1">
      <c r="B814" s="18"/>
      <c r="C814" s="18"/>
      <c r="D814" s="18"/>
      <c r="E814" s="18"/>
      <c r="F814" s="18"/>
      <c r="G814" s="18"/>
      <c r="H814" s="18"/>
      <c r="I814" s="71"/>
      <c r="J814" s="71"/>
      <c r="K814" s="71"/>
      <c r="L814" s="71"/>
      <c r="M814" s="71"/>
      <c r="N814" s="71"/>
      <c r="O814" s="71"/>
      <c r="P814" s="46"/>
      <c r="Q814" s="46"/>
      <c r="R814" s="46"/>
      <c r="S814" s="46"/>
      <c r="T814" s="46"/>
      <c r="U814" s="50"/>
      <c r="V814" s="46"/>
    </row>
    <row r="815" spans="2:22" s="27" customFormat="1">
      <c r="B815" s="18"/>
      <c r="C815" s="18"/>
      <c r="D815" s="18"/>
      <c r="E815" s="18"/>
      <c r="F815" s="18"/>
      <c r="G815" s="18"/>
      <c r="H815" s="18"/>
      <c r="I815" s="71"/>
      <c r="J815" s="71"/>
      <c r="K815" s="71"/>
      <c r="L815" s="71"/>
      <c r="M815" s="71"/>
      <c r="N815" s="71"/>
      <c r="O815" s="71"/>
      <c r="P815" s="46"/>
      <c r="Q815" s="46"/>
      <c r="R815" s="46"/>
      <c r="S815" s="46"/>
      <c r="T815" s="46"/>
      <c r="U815" s="50"/>
      <c r="V815" s="46"/>
    </row>
    <row r="816" spans="2:22" s="27" customFormat="1">
      <c r="B816" s="18"/>
      <c r="C816" s="18"/>
      <c r="D816" s="18"/>
      <c r="E816" s="18"/>
      <c r="F816" s="18"/>
      <c r="G816" s="18"/>
      <c r="H816" s="18"/>
      <c r="I816" s="71"/>
      <c r="J816" s="71"/>
      <c r="K816" s="71"/>
      <c r="L816" s="71"/>
      <c r="M816" s="71"/>
      <c r="N816" s="71"/>
      <c r="O816" s="71"/>
      <c r="P816" s="46"/>
      <c r="Q816" s="46"/>
      <c r="R816" s="46"/>
      <c r="S816" s="46"/>
      <c r="T816" s="46"/>
      <c r="U816" s="50"/>
      <c r="V816" s="46"/>
    </row>
    <row r="817" spans="2:22" s="27" customFormat="1">
      <c r="B817" s="18"/>
      <c r="C817" s="18"/>
      <c r="D817" s="18"/>
      <c r="E817" s="18"/>
      <c r="F817" s="18"/>
      <c r="G817" s="18"/>
      <c r="H817" s="18"/>
      <c r="I817" s="71"/>
      <c r="J817" s="71"/>
      <c r="K817" s="71"/>
      <c r="L817" s="71"/>
      <c r="M817" s="71"/>
      <c r="N817" s="71"/>
      <c r="O817" s="71"/>
      <c r="P817" s="46"/>
      <c r="Q817" s="46"/>
      <c r="R817" s="46"/>
      <c r="S817" s="46"/>
      <c r="T817" s="46"/>
      <c r="U817" s="50"/>
      <c r="V817" s="46"/>
    </row>
    <row r="818" spans="2:22" s="27" customFormat="1">
      <c r="B818" s="18"/>
      <c r="C818" s="18"/>
      <c r="D818" s="18"/>
      <c r="E818" s="18"/>
      <c r="F818" s="18"/>
      <c r="G818" s="18"/>
      <c r="H818" s="18"/>
      <c r="I818" s="71"/>
      <c r="J818" s="71"/>
      <c r="K818" s="71"/>
      <c r="L818" s="71"/>
      <c r="M818" s="71"/>
      <c r="N818" s="71"/>
      <c r="O818" s="71"/>
      <c r="P818" s="46"/>
      <c r="Q818" s="46"/>
      <c r="R818" s="46"/>
      <c r="S818" s="46"/>
      <c r="T818" s="46"/>
      <c r="U818" s="50"/>
      <c r="V818" s="46"/>
    </row>
    <row r="819" spans="2:22" s="27" customFormat="1">
      <c r="B819" s="18"/>
      <c r="C819" s="18"/>
      <c r="D819" s="18"/>
      <c r="E819" s="18"/>
      <c r="F819" s="18"/>
      <c r="G819" s="18"/>
      <c r="H819" s="18"/>
      <c r="I819" s="71"/>
      <c r="J819" s="71"/>
      <c r="K819" s="71"/>
      <c r="L819" s="71"/>
      <c r="M819" s="71"/>
      <c r="N819" s="71"/>
      <c r="O819" s="71"/>
      <c r="P819" s="46"/>
      <c r="Q819" s="46"/>
      <c r="R819" s="46"/>
      <c r="S819" s="46"/>
      <c r="T819" s="46"/>
      <c r="U819" s="50"/>
      <c r="V819" s="46"/>
    </row>
    <row r="820" spans="2:22" s="27" customFormat="1">
      <c r="B820" s="18"/>
      <c r="C820" s="18"/>
      <c r="D820" s="18"/>
      <c r="E820" s="18"/>
      <c r="F820" s="18"/>
      <c r="G820" s="18"/>
      <c r="H820" s="18"/>
      <c r="I820" s="71"/>
      <c r="J820" s="71"/>
      <c r="K820" s="71"/>
      <c r="L820" s="71"/>
      <c r="M820" s="71"/>
      <c r="N820" s="71"/>
      <c r="O820" s="71"/>
      <c r="P820" s="46"/>
      <c r="Q820" s="46"/>
      <c r="R820" s="46"/>
      <c r="S820" s="46"/>
      <c r="T820" s="46"/>
      <c r="U820" s="50"/>
      <c r="V820" s="46"/>
    </row>
    <row r="821" spans="2:22" s="27" customFormat="1">
      <c r="B821" s="18"/>
      <c r="C821" s="18"/>
      <c r="D821" s="18"/>
      <c r="E821" s="18"/>
      <c r="F821" s="18"/>
      <c r="G821" s="18"/>
      <c r="H821" s="18"/>
      <c r="I821" s="71"/>
      <c r="J821" s="71"/>
      <c r="K821" s="71"/>
      <c r="L821" s="71"/>
      <c r="M821" s="71"/>
      <c r="N821" s="71"/>
      <c r="O821" s="71"/>
      <c r="P821" s="46"/>
      <c r="Q821" s="46"/>
      <c r="R821" s="46"/>
      <c r="S821" s="46"/>
      <c r="T821" s="46"/>
      <c r="U821" s="50"/>
      <c r="V821" s="46"/>
    </row>
    <row r="822" spans="2:22" s="27" customFormat="1">
      <c r="B822" s="18"/>
      <c r="C822" s="18"/>
      <c r="D822" s="18"/>
      <c r="E822" s="18"/>
      <c r="F822" s="18"/>
      <c r="G822" s="18"/>
      <c r="H822" s="18"/>
      <c r="I822" s="71"/>
      <c r="J822" s="71"/>
      <c r="K822" s="71"/>
      <c r="L822" s="71"/>
      <c r="M822" s="71"/>
      <c r="N822" s="71"/>
      <c r="O822" s="71"/>
      <c r="P822" s="46"/>
      <c r="Q822" s="46"/>
      <c r="R822" s="46"/>
      <c r="S822" s="46"/>
      <c r="T822" s="46"/>
      <c r="U822" s="50"/>
      <c r="V822" s="46"/>
    </row>
    <row r="823" spans="2:22" s="27" customFormat="1">
      <c r="B823" s="18"/>
      <c r="C823" s="18"/>
      <c r="D823" s="18"/>
      <c r="E823" s="18"/>
      <c r="F823" s="18"/>
      <c r="G823" s="18"/>
      <c r="H823" s="18"/>
      <c r="I823" s="71"/>
      <c r="J823" s="71"/>
      <c r="K823" s="71"/>
      <c r="L823" s="71"/>
      <c r="M823" s="71"/>
      <c r="N823" s="71"/>
      <c r="O823" s="71"/>
      <c r="P823" s="46"/>
      <c r="Q823" s="46"/>
      <c r="R823" s="46"/>
      <c r="S823" s="46"/>
      <c r="T823" s="46"/>
      <c r="U823" s="50"/>
      <c r="V823" s="46"/>
    </row>
    <row r="824" spans="2:22" s="27" customFormat="1">
      <c r="B824" s="18"/>
      <c r="C824" s="18"/>
      <c r="D824" s="18"/>
      <c r="E824" s="18"/>
      <c r="F824" s="18"/>
      <c r="G824" s="18"/>
      <c r="H824" s="18"/>
      <c r="I824" s="71"/>
      <c r="J824" s="71"/>
      <c r="K824" s="71"/>
      <c r="L824" s="71"/>
      <c r="M824" s="71"/>
      <c r="N824" s="71"/>
      <c r="O824" s="71"/>
      <c r="P824" s="46"/>
      <c r="Q824" s="46"/>
      <c r="R824" s="46"/>
      <c r="S824" s="46"/>
      <c r="T824" s="46"/>
      <c r="U824" s="50"/>
      <c r="V824" s="46"/>
    </row>
    <row r="825" spans="2:22" s="27" customFormat="1">
      <c r="B825" s="18"/>
      <c r="C825" s="18"/>
      <c r="D825" s="18"/>
      <c r="E825" s="18"/>
      <c r="F825" s="18"/>
      <c r="G825" s="18"/>
      <c r="H825" s="18"/>
      <c r="I825" s="71"/>
      <c r="J825" s="71"/>
      <c r="K825" s="71"/>
      <c r="L825" s="71"/>
      <c r="M825" s="71"/>
      <c r="N825" s="71"/>
      <c r="O825" s="71"/>
      <c r="P825" s="46"/>
      <c r="Q825" s="46"/>
      <c r="R825" s="46"/>
      <c r="S825" s="46"/>
      <c r="T825" s="46"/>
      <c r="U825" s="50"/>
      <c r="V825" s="46"/>
    </row>
    <row r="826" spans="2:22" s="27" customFormat="1">
      <c r="B826" s="18"/>
      <c r="C826" s="18"/>
      <c r="D826" s="18"/>
      <c r="E826" s="18"/>
      <c r="F826" s="18"/>
      <c r="G826" s="18"/>
      <c r="H826" s="18"/>
      <c r="I826" s="71"/>
      <c r="J826" s="71"/>
      <c r="K826" s="71"/>
      <c r="L826" s="71"/>
      <c r="M826" s="71"/>
      <c r="N826" s="71"/>
      <c r="O826" s="71"/>
      <c r="P826" s="46"/>
      <c r="Q826" s="46"/>
      <c r="R826" s="46"/>
      <c r="S826" s="46"/>
      <c r="T826" s="46"/>
      <c r="U826" s="50"/>
      <c r="V826" s="46"/>
    </row>
    <row r="827" spans="2:22" s="27" customFormat="1">
      <c r="B827" s="18"/>
      <c r="C827" s="18"/>
      <c r="D827" s="18"/>
      <c r="E827" s="18"/>
      <c r="F827" s="18"/>
      <c r="G827" s="18"/>
      <c r="H827" s="18"/>
      <c r="I827" s="71"/>
      <c r="J827" s="71"/>
      <c r="K827" s="71"/>
      <c r="L827" s="71"/>
      <c r="M827" s="71"/>
      <c r="N827" s="71"/>
      <c r="O827" s="71"/>
      <c r="P827" s="46"/>
      <c r="Q827" s="46"/>
      <c r="R827" s="46"/>
      <c r="S827" s="46"/>
      <c r="T827" s="46"/>
      <c r="U827" s="50"/>
      <c r="V827" s="46"/>
    </row>
    <row r="828" spans="2:22" s="27" customFormat="1">
      <c r="B828" s="18"/>
      <c r="C828" s="18"/>
      <c r="D828" s="18"/>
      <c r="E828" s="18"/>
      <c r="F828" s="18"/>
      <c r="G828" s="18"/>
      <c r="H828" s="18"/>
      <c r="I828" s="71"/>
      <c r="J828" s="71"/>
      <c r="K828" s="71"/>
      <c r="L828" s="71"/>
      <c r="M828" s="71"/>
      <c r="N828" s="71"/>
      <c r="O828" s="71"/>
      <c r="P828" s="46"/>
      <c r="Q828" s="46"/>
      <c r="R828" s="46"/>
      <c r="S828" s="46"/>
      <c r="T828" s="46"/>
      <c r="U828" s="50"/>
      <c r="V828" s="46"/>
    </row>
    <row r="829" spans="2:22" s="27" customFormat="1">
      <c r="B829" s="18"/>
      <c r="C829" s="18"/>
      <c r="D829" s="18"/>
      <c r="E829" s="18"/>
      <c r="F829" s="18"/>
      <c r="G829" s="18"/>
      <c r="H829" s="18"/>
      <c r="I829" s="71"/>
      <c r="J829" s="71"/>
      <c r="K829" s="71"/>
      <c r="L829" s="71"/>
      <c r="M829" s="71"/>
      <c r="N829" s="71"/>
      <c r="O829" s="71"/>
      <c r="P829" s="46"/>
      <c r="Q829" s="46"/>
      <c r="R829" s="46"/>
      <c r="S829" s="46"/>
      <c r="T829" s="46"/>
      <c r="U829" s="50"/>
      <c r="V829" s="46"/>
    </row>
    <row r="830" spans="2:22" s="27" customFormat="1">
      <c r="B830" s="18"/>
      <c r="C830" s="18"/>
      <c r="D830" s="18"/>
      <c r="E830" s="18"/>
      <c r="F830" s="18"/>
      <c r="G830" s="18"/>
      <c r="H830" s="18"/>
      <c r="I830" s="71"/>
      <c r="J830" s="71"/>
      <c r="K830" s="71"/>
      <c r="L830" s="71"/>
      <c r="M830" s="71"/>
      <c r="N830" s="71"/>
      <c r="O830" s="71"/>
      <c r="P830" s="46"/>
      <c r="Q830" s="46"/>
      <c r="R830" s="46"/>
      <c r="S830" s="46"/>
      <c r="T830" s="46"/>
      <c r="U830" s="50"/>
      <c r="V830" s="46"/>
    </row>
    <row r="831" spans="2:22" s="27" customFormat="1">
      <c r="B831" s="18"/>
      <c r="C831" s="18"/>
      <c r="D831" s="18"/>
      <c r="E831" s="18"/>
      <c r="F831" s="18"/>
      <c r="G831" s="18"/>
      <c r="H831" s="18"/>
      <c r="I831" s="71"/>
      <c r="J831" s="71"/>
      <c r="K831" s="71"/>
      <c r="L831" s="71"/>
      <c r="M831" s="71"/>
      <c r="N831" s="71"/>
      <c r="O831" s="71"/>
      <c r="P831" s="46"/>
      <c r="Q831" s="46"/>
      <c r="R831" s="46"/>
      <c r="S831" s="46"/>
      <c r="T831" s="46"/>
      <c r="U831" s="50"/>
      <c r="V831" s="46"/>
    </row>
    <row r="832" spans="2:22" s="27" customFormat="1">
      <c r="B832" s="18"/>
      <c r="C832" s="18"/>
      <c r="D832" s="18"/>
      <c r="E832" s="18"/>
      <c r="F832" s="18"/>
      <c r="G832" s="18"/>
      <c r="H832" s="18"/>
      <c r="I832" s="71"/>
      <c r="J832" s="71"/>
      <c r="K832" s="71"/>
      <c r="L832" s="71"/>
      <c r="M832" s="71"/>
      <c r="N832" s="71"/>
      <c r="O832" s="71"/>
      <c r="P832" s="46"/>
      <c r="Q832" s="46"/>
      <c r="R832" s="46"/>
      <c r="S832" s="46"/>
      <c r="T832" s="46"/>
      <c r="U832" s="50"/>
      <c r="V832" s="46"/>
    </row>
    <row r="833" spans="2:22" s="27" customFormat="1">
      <c r="B833" s="18"/>
      <c r="C833" s="18"/>
      <c r="D833" s="18"/>
      <c r="E833" s="18"/>
      <c r="F833" s="18"/>
      <c r="G833" s="18"/>
      <c r="H833" s="18"/>
      <c r="I833" s="71"/>
      <c r="J833" s="71"/>
      <c r="K833" s="71"/>
      <c r="L833" s="71"/>
      <c r="M833" s="71"/>
      <c r="N833" s="71"/>
      <c r="O833" s="71"/>
      <c r="P833" s="46"/>
      <c r="Q833" s="46"/>
      <c r="R833" s="46"/>
      <c r="S833" s="46"/>
      <c r="T833" s="46"/>
      <c r="U833" s="50"/>
      <c r="V833" s="46"/>
    </row>
    <row r="834" spans="2:22" s="27" customFormat="1">
      <c r="B834" s="18"/>
      <c r="C834" s="18"/>
      <c r="D834" s="18"/>
      <c r="E834" s="18"/>
      <c r="F834" s="18"/>
      <c r="G834" s="18"/>
      <c r="H834" s="18"/>
      <c r="I834" s="71"/>
      <c r="J834" s="71"/>
      <c r="K834" s="71"/>
      <c r="L834" s="71"/>
      <c r="M834" s="71"/>
      <c r="N834" s="71"/>
      <c r="O834" s="71"/>
      <c r="P834" s="46"/>
      <c r="Q834" s="46"/>
      <c r="R834" s="46"/>
      <c r="S834" s="46"/>
      <c r="T834" s="46"/>
      <c r="U834" s="50"/>
      <c r="V834" s="46"/>
    </row>
    <row r="835" spans="2:22" s="27" customFormat="1">
      <c r="B835" s="18"/>
      <c r="C835" s="18"/>
      <c r="D835" s="18"/>
      <c r="E835" s="18"/>
      <c r="F835" s="18"/>
      <c r="G835" s="18"/>
      <c r="H835" s="18"/>
      <c r="I835" s="71"/>
      <c r="J835" s="71"/>
      <c r="K835" s="71"/>
      <c r="L835" s="71"/>
      <c r="M835" s="71"/>
      <c r="N835" s="71"/>
      <c r="O835" s="71"/>
      <c r="P835" s="46"/>
      <c r="Q835" s="46"/>
      <c r="R835" s="46"/>
      <c r="S835" s="46"/>
      <c r="T835" s="46"/>
      <c r="U835" s="50"/>
      <c r="V835" s="46"/>
    </row>
    <row r="836" spans="2:22" s="27" customFormat="1">
      <c r="B836" s="18"/>
      <c r="C836" s="18"/>
      <c r="D836" s="18"/>
      <c r="E836" s="18"/>
      <c r="F836" s="18"/>
      <c r="G836" s="18"/>
      <c r="H836" s="18"/>
      <c r="I836" s="71"/>
      <c r="J836" s="71"/>
      <c r="K836" s="71"/>
      <c r="L836" s="71"/>
      <c r="M836" s="71"/>
      <c r="N836" s="71"/>
      <c r="O836" s="71"/>
      <c r="P836" s="46"/>
      <c r="Q836" s="46"/>
      <c r="R836" s="46"/>
      <c r="S836" s="46"/>
      <c r="T836" s="46"/>
      <c r="U836" s="50"/>
      <c r="V836" s="46"/>
    </row>
    <row r="837" spans="2:22" s="27" customFormat="1">
      <c r="B837" s="18"/>
      <c r="C837" s="18"/>
      <c r="D837" s="18"/>
      <c r="E837" s="18"/>
      <c r="F837" s="18"/>
      <c r="G837" s="18"/>
      <c r="H837" s="18"/>
      <c r="I837" s="71"/>
      <c r="J837" s="71"/>
      <c r="K837" s="71"/>
      <c r="L837" s="71"/>
      <c r="M837" s="71"/>
      <c r="N837" s="71"/>
      <c r="O837" s="71"/>
      <c r="P837" s="46"/>
      <c r="Q837" s="46"/>
      <c r="R837" s="46"/>
      <c r="S837" s="46"/>
      <c r="T837" s="46"/>
      <c r="U837" s="50"/>
      <c r="V837" s="46"/>
    </row>
    <row r="838" spans="2:22" s="27" customFormat="1">
      <c r="B838" s="18"/>
      <c r="C838" s="18"/>
      <c r="D838" s="18"/>
      <c r="E838" s="18"/>
      <c r="F838" s="18"/>
      <c r="G838" s="18"/>
      <c r="H838" s="18"/>
      <c r="I838" s="71"/>
      <c r="J838" s="71"/>
      <c r="K838" s="71"/>
      <c r="L838" s="71"/>
      <c r="M838" s="71"/>
      <c r="N838" s="71"/>
      <c r="O838" s="71"/>
      <c r="P838" s="46"/>
      <c r="Q838" s="46"/>
      <c r="R838" s="46"/>
      <c r="S838" s="46"/>
      <c r="T838" s="46"/>
      <c r="U838" s="50"/>
      <c r="V838" s="46"/>
    </row>
    <row r="839" spans="2:22" s="27" customFormat="1">
      <c r="B839" s="18"/>
      <c r="C839" s="18"/>
      <c r="D839" s="18"/>
      <c r="E839" s="18"/>
      <c r="F839" s="18"/>
      <c r="G839" s="18"/>
      <c r="H839" s="18"/>
      <c r="I839" s="71"/>
      <c r="J839" s="71"/>
      <c r="K839" s="71"/>
      <c r="L839" s="71"/>
      <c r="M839" s="71"/>
      <c r="N839" s="71"/>
      <c r="O839" s="71"/>
      <c r="P839" s="46"/>
      <c r="Q839" s="46"/>
      <c r="R839" s="46"/>
      <c r="S839" s="46"/>
      <c r="T839" s="46"/>
      <c r="U839" s="50"/>
      <c r="V839" s="46"/>
    </row>
    <row r="840" spans="2:22" s="27" customFormat="1">
      <c r="B840" s="18"/>
      <c r="C840" s="18"/>
      <c r="D840" s="18"/>
      <c r="E840" s="18"/>
      <c r="F840" s="18"/>
      <c r="G840" s="18"/>
      <c r="H840" s="18"/>
      <c r="I840" s="71"/>
      <c r="J840" s="71"/>
      <c r="K840" s="71"/>
      <c r="L840" s="71"/>
      <c r="M840" s="71"/>
      <c r="N840" s="71"/>
      <c r="O840" s="71"/>
      <c r="P840" s="46"/>
      <c r="Q840" s="46"/>
      <c r="R840" s="46"/>
      <c r="S840" s="46"/>
      <c r="T840" s="46"/>
      <c r="U840" s="50"/>
      <c r="V840" s="46"/>
    </row>
    <row r="841" spans="2:22" s="27" customFormat="1">
      <c r="B841" s="18"/>
      <c r="C841" s="18"/>
      <c r="D841" s="18"/>
      <c r="E841" s="18"/>
      <c r="F841" s="18"/>
      <c r="G841" s="18"/>
      <c r="H841" s="18"/>
      <c r="I841" s="71"/>
      <c r="J841" s="71"/>
      <c r="K841" s="71"/>
      <c r="L841" s="71"/>
      <c r="M841" s="71"/>
      <c r="N841" s="71"/>
      <c r="O841" s="71"/>
      <c r="P841" s="46"/>
      <c r="Q841" s="46"/>
      <c r="R841" s="46"/>
      <c r="S841" s="46"/>
      <c r="T841" s="46"/>
      <c r="U841" s="50"/>
      <c r="V841" s="46"/>
    </row>
    <row r="842" spans="2:22" s="27" customFormat="1">
      <c r="B842" s="18"/>
      <c r="C842" s="18"/>
      <c r="D842" s="18"/>
      <c r="E842" s="18"/>
      <c r="F842" s="18"/>
      <c r="G842" s="18"/>
      <c r="H842" s="18"/>
      <c r="I842" s="71"/>
      <c r="J842" s="71"/>
      <c r="K842" s="71"/>
      <c r="L842" s="71"/>
      <c r="M842" s="71"/>
      <c r="N842" s="71"/>
      <c r="O842" s="71"/>
      <c r="P842" s="46"/>
      <c r="Q842" s="46"/>
      <c r="R842" s="46"/>
      <c r="S842" s="46"/>
      <c r="T842" s="46"/>
      <c r="U842" s="50"/>
      <c r="V842" s="46"/>
    </row>
    <row r="843" spans="2:22" s="27" customFormat="1">
      <c r="B843" s="18"/>
      <c r="C843" s="18"/>
      <c r="D843" s="18"/>
      <c r="E843" s="18"/>
      <c r="F843" s="18"/>
      <c r="G843" s="18"/>
      <c r="H843" s="18"/>
      <c r="I843" s="71"/>
      <c r="J843" s="71"/>
      <c r="K843" s="71"/>
      <c r="L843" s="71"/>
      <c r="M843" s="71"/>
      <c r="N843" s="71"/>
      <c r="O843" s="71"/>
      <c r="P843" s="46"/>
      <c r="Q843" s="46"/>
      <c r="R843" s="46"/>
      <c r="S843" s="46"/>
      <c r="T843" s="46"/>
      <c r="U843" s="50"/>
      <c r="V843" s="46"/>
    </row>
    <row r="844" spans="2:22" s="27" customFormat="1">
      <c r="B844" s="18"/>
      <c r="C844" s="18"/>
      <c r="D844" s="18"/>
      <c r="E844" s="18"/>
      <c r="F844" s="18"/>
      <c r="G844" s="18"/>
      <c r="H844" s="18"/>
      <c r="I844" s="71"/>
      <c r="J844" s="71"/>
      <c r="K844" s="71"/>
      <c r="L844" s="71"/>
      <c r="M844" s="71"/>
      <c r="N844" s="71"/>
      <c r="O844" s="71"/>
      <c r="P844" s="46"/>
      <c r="Q844" s="46"/>
      <c r="R844" s="46"/>
      <c r="S844" s="46"/>
      <c r="T844" s="46"/>
      <c r="U844" s="50"/>
      <c r="V844" s="46"/>
    </row>
    <row r="845" spans="2:22" s="27" customFormat="1">
      <c r="B845" s="18"/>
      <c r="C845" s="18"/>
      <c r="D845" s="18"/>
      <c r="E845" s="18"/>
      <c r="F845" s="18"/>
      <c r="G845" s="18"/>
      <c r="H845" s="18"/>
      <c r="I845" s="71"/>
      <c r="J845" s="71"/>
      <c r="K845" s="71"/>
      <c r="L845" s="71"/>
      <c r="M845" s="71"/>
      <c r="N845" s="71"/>
      <c r="O845" s="71"/>
      <c r="P845" s="46"/>
      <c r="Q845" s="46"/>
      <c r="R845" s="46"/>
      <c r="S845" s="46"/>
      <c r="T845" s="46"/>
      <c r="U845" s="50"/>
      <c r="V845" s="46"/>
    </row>
    <row r="846" spans="2:22" s="27" customFormat="1">
      <c r="B846" s="18"/>
      <c r="C846" s="18"/>
      <c r="D846" s="18"/>
      <c r="E846" s="18"/>
      <c r="F846" s="18"/>
      <c r="G846" s="18"/>
      <c r="H846" s="18"/>
      <c r="I846" s="71"/>
      <c r="J846" s="71"/>
      <c r="K846" s="71"/>
      <c r="L846" s="71"/>
      <c r="M846" s="71"/>
      <c r="N846" s="71"/>
      <c r="O846" s="71"/>
      <c r="P846" s="46"/>
      <c r="Q846" s="46"/>
      <c r="R846" s="46"/>
      <c r="S846" s="46"/>
      <c r="T846" s="46"/>
      <c r="U846" s="50"/>
      <c r="V846" s="46"/>
    </row>
    <row r="847" spans="2:22" s="27" customFormat="1">
      <c r="B847" s="18"/>
      <c r="C847" s="18"/>
      <c r="D847" s="18"/>
      <c r="E847" s="18"/>
      <c r="F847" s="18"/>
      <c r="G847" s="18"/>
      <c r="H847" s="18"/>
      <c r="I847" s="71"/>
      <c r="J847" s="71"/>
      <c r="K847" s="71"/>
      <c r="L847" s="71"/>
      <c r="M847" s="71"/>
      <c r="N847" s="71"/>
      <c r="O847" s="71"/>
      <c r="P847" s="46"/>
      <c r="Q847" s="46"/>
      <c r="R847" s="46"/>
      <c r="S847" s="46"/>
      <c r="T847" s="46"/>
      <c r="U847" s="50"/>
      <c r="V847" s="46"/>
    </row>
    <row r="848" spans="2:22" s="27" customFormat="1">
      <c r="B848" s="18"/>
      <c r="C848" s="18"/>
      <c r="D848" s="18"/>
      <c r="E848" s="18"/>
      <c r="F848" s="18"/>
      <c r="G848" s="18"/>
      <c r="H848" s="18"/>
      <c r="I848" s="71"/>
      <c r="J848" s="71"/>
      <c r="K848" s="71"/>
      <c r="L848" s="71"/>
      <c r="M848" s="71"/>
      <c r="N848" s="71"/>
      <c r="O848" s="71"/>
      <c r="P848" s="46"/>
      <c r="Q848" s="46"/>
      <c r="R848" s="46"/>
      <c r="S848" s="46"/>
      <c r="T848" s="46"/>
      <c r="U848" s="50"/>
      <c r="V848" s="46"/>
    </row>
    <row r="849" spans="2:22" s="27" customFormat="1">
      <c r="B849" s="18"/>
      <c r="C849" s="18"/>
      <c r="D849" s="18"/>
      <c r="E849" s="18"/>
      <c r="F849" s="18"/>
      <c r="G849" s="18"/>
      <c r="H849" s="18"/>
      <c r="I849" s="71"/>
      <c r="J849" s="71"/>
      <c r="K849" s="71"/>
      <c r="L849" s="71"/>
      <c r="M849" s="71"/>
      <c r="N849" s="71"/>
      <c r="O849" s="71"/>
      <c r="P849" s="46"/>
      <c r="Q849" s="46"/>
      <c r="R849" s="46"/>
      <c r="S849" s="46"/>
      <c r="T849" s="46"/>
      <c r="U849" s="50"/>
      <c r="V849" s="46"/>
    </row>
    <row r="850" spans="2:22" s="27" customFormat="1">
      <c r="B850" s="18"/>
      <c r="C850" s="18"/>
      <c r="D850" s="18"/>
      <c r="E850" s="18"/>
      <c r="F850" s="18"/>
      <c r="G850" s="18"/>
      <c r="H850" s="18"/>
      <c r="I850" s="71"/>
      <c r="J850" s="71"/>
      <c r="K850" s="71"/>
      <c r="L850" s="71"/>
      <c r="M850" s="71"/>
      <c r="N850" s="71"/>
      <c r="O850" s="71"/>
      <c r="P850" s="46"/>
      <c r="Q850" s="46"/>
      <c r="R850" s="46"/>
      <c r="S850" s="46"/>
      <c r="T850" s="46"/>
      <c r="U850" s="50"/>
      <c r="V850" s="46"/>
    </row>
    <row r="851" spans="2:22" s="27" customFormat="1">
      <c r="B851" s="18"/>
      <c r="C851" s="18"/>
      <c r="D851" s="18"/>
      <c r="E851" s="18"/>
      <c r="F851" s="18"/>
      <c r="G851" s="18"/>
      <c r="H851" s="18"/>
      <c r="I851" s="71"/>
      <c r="J851" s="71"/>
      <c r="K851" s="71"/>
      <c r="L851" s="71"/>
      <c r="M851" s="71"/>
      <c r="N851" s="71"/>
      <c r="O851" s="71"/>
      <c r="P851" s="46"/>
      <c r="Q851" s="46"/>
      <c r="R851" s="46"/>
      <c r="S851" s="46"/>
      <c r="T851" s="46"/>
      <c r="U851" s="50"/>
      <c r="V851" s="46"/>
    </row>
    <row r="852" spans="2:22" s="27" customFormat="1">
      <c r="B852" s="18"/>
      <c r="C852" s="18"/>
      <c r="D852" s="18"/>
      <c r="E852" s="18"/>
      <c r="F852" s="18"/>
      <c r="G852" s="18"/>
      <c r="H852" s="18"/>
      <c r="I852" s="71"/>
      <c r="J852" s="71"/>
      <c r="K852" s="71"/>
      <c r="L852" s="71"/>
      <c r="M852" s="71"/>
      <c r="N852" s="71"/>
      <c r="O852" s="71"/>
      <c r="P852" s="46"/>
      <c r="Q852" s="46"/>
      <c r="R852" s="46"/>
      <c r="S852" s="46"/>
      <c r="T852" s="46"/>
      <c r="U852" s="50"/>
      <c r="V852" s="46"/>
    </row>
    <row r="853" spans="2:22" s="27" customFormat="1">
      <c r="B853" s="18"/>
      <c r="C853" s="18"/>
      <c r="D853" s="18"/>
      <c r="E853" s="18"/>
      <c r="F853" s="18"/>
      <c r="G853" s="18"/>
      <c r="H853" s="18"/>
      <c r="I853" s="71"/>
      <c r="J853" s="71"/>
      <c r="K853" s="71"/>
      <c r="L853" s="71"/>
      <c r="M853" s="71"/>
      <c r="N853" s="71"/>
      <c r="O853" s="71"/>
      <c r="P853" s="46"/>
      <c r="Q853" s="46"/>
      <c r="R853" s="46"/>
      <c r="S853" s="46"/>
      <c r="T853" s="46"/>
      <c r="U853" s="50"/>
      <c r="V853" s="46"/>
    </row>
    <row r="854" spans="2:22" s="27" customFormat="1">
      <c r="B854" s="18"/>
      <c r="C854" s="18"/>
      <c r="D854" s="18"/>
      <c r="E854" s="18"/>
      <c r="F854" s="18"/>
      <c r="G854" s="18"/>
      <c r="H854" s="18"/>
      <c r="I854" s="71"/>
      <c r="J854" s="71"/>
      <c r="K854" s="71"/>
      <c r="L854" s="71"/>
      <c r="M854" s="71"/>
      <c r="N854" s="71"/>
      <c r="O854" s="71"/>
      <c r="P854" s="46"/>
      <c r="Q854" s="46"/>
      <c r="R854" s="46"/>
      <c r="S854" s="46"/>
      <c r="T854" s="46"/>
      <c r="U854" s="50"/>
      <c r="V854" s="46"/>
    </row>
    <row r="855" spans="2:22" s="27" customFormat="1">
      <c r="B855" s="18"/>
      <c r="C855" s="18"/>
      <c r="D855" s="18"/>
      <c r="E855" s="18"/>
      <c r="F855" s="18"/>
      <c r="G855" s="18"/>
      <c r="H855" s="18"/>
      <c r="I855" s="71"/>
      <c r="J855" s="71"/>
      <c r="K855" s="71"/>
      <c r="L855" s="71"/>
      <c r="M855" s="71"/>
      <c r="N855" s="71"/>
      <c r="O855" s="71"/>
      <c r="P855" s="46"/>
      <c r="Q855" s="46"/>
      <c r="R855" s="46"/>
      <c r="S855" s="46"/>
      <c r="T855" s="46"/>
      <c r="U855" s="50"/>
      <c r="V855" s="46"/>
    </row>
    <row r="856" spans="2:22" s="27" customFormat="1">
      <c r="B856" s="18"/>
      <c r="C856" s="18"/>
      <c r="D856" s="18"/>
      <c r="E856" s="18"/>
      <c r="F856" s="18"/>
      <c r="G856" s="18"/>
      <c r="H856" s="18"/>
      <c r="I856" s="71"/>
      <c r="J856" s="71"/>
      <c r="K856" s="71"/>
      <c r="L856" s="71"/>
      <c r="M856" s="71"/>
      <c r="N856" s="71"/>
      <c r="O856" s="71"/>
      <c r="P856" s="46"/>
      <c r="Q856" s="46"/>
      <c r="R856" s="46"/>
      <c r="S856" s="46"/>
      <c r="T856" s="46"/>
      <c r="U856" s="50"/>
      <c r="V856" s="46"/>
    </row>
    <row r="857" spans="2:22" s="27" customFormat="1">
      <c r="B857" s="18"/>
      <c r="C857" s="18"/>
      <c r="D857" s="18"/>
      <c r="E857" s="18"/>
      <c r="F857" s="18"/>
      <c r="G857" s="18"/>
      <c r="H857" s="18"/>
      <c r="I857" s="71"/>
      <c r="J857" s="71"/>
      <c r="K857" s="71"/>
      <c r="L857" s="71"/>
      <c r="M857" s="71"/>
      <c r="N857" s="71"/>
      <c r="O857" s="71"/>
      <c r="P857" s="46"/>
      <c r="Q857" s="46"/>
      <c r="R857" s="46"/>
      <c r="S857" s="46"/>
      <c r="T857" s="46"/>
      <c r="U857" s="50"/>
      <c r="V857" s="46"/>
    </row>
    <row r="858" spans="2:22" s="27" customFormat="1">
      <c r="B858" s="18"/>
      <c r="C858" s="18"/>
      <c r="D858" s="18"/>
      <c r="E858" s="18"/>
      <c r="F858" s="18"/>
      <c r="G858" s="18"/>
      <c r="H858" s="18"/>
      <c r="I858" s="71"/>
      <c r="J858" s="71"/>
      <c r="K858" s="71"/>
      <c r="L858" s="71"/>
      <c r="M858" s="71"/>
      <c r="N858" s="71"/>
      <c r="O858" s="71"/>
      <c r="P858" s="46"/>
      <c r="Q858" s="46"/>
      <c r="R858" s="46"/>
      <c r="S858" s="46"/>
      <c r="T858" s="46"/>
      <c r="U858" s="50"/>
      <c r="V858" s="46"/>
    </row>
    <row r="859" spans="2:22" s="27" customFormat="1">
      <c r="B859" s="18"/>
      <c r="C859" s="18"/>
      <c r="D859" s="18"/>
      <c r="E859" s="18"/>
      <c r="F859" s="18"/>
      <c r="G859" s="18"/>
      <c r="H859" s="18"/>
      <c r="I859" s="71"/>
      <c r="J859" s="71"/>
      <c r="K859" s="71"/>
      <c r="L859" s="71"/>
      <c r="M859" s="71"/>
      <c r="N859" s="71"/>
      <c r="O859" s="71"/>
      <c r="P859" s="46"/>
      <c r="Q859" s="46"/>
      <c r="R859" s="46"/>
      <c r="S859" s="46"/>
      <c r="T859" s="46"/>
      <c r="U859" s="50"/>
      <c r="V859" s="46"/>
    </row>
    <row r="860" spans="2:22" s="27" customFormat="1">
      <c r="B860" s="18"/>
      <c r="C860" s="18"/>
      <c r="D860" s="18"/>
      <c r="E860" s="18"/>
      <c r="F860" s="18"/>
      <c r="G860" s="18"/>
      <c r="H860" s="18"/>
      <c r="I860" s="71"/>
      <c r="J860" s="71"/>
      <c r="K860" s="71"/>
      <c r="L860" s="71"/>
      <c r="M860" s="71"/>
      <c r="N860" s="71"/>
      <c r="O860" s="71"/>
      <c r="P860" s="46"/>
      <c r="Q860" s="46"/>
      <c r="R860" s="46"/>
      <c r="S860" s="46"/>
      <c r="T860" s="46"/>
      <c r="U860" s="50"/>
      <c r="V860" s="46"/>
    </row>
    <row r="861" spans="2:22" s="27" customFormat="1">
      <c r="B861" s="18"/>
      <c r="C861" s="18"/>
      <c r="D861" s="18"/>
      <c r="E861" s="18"/>
      <c r="F861" s="18"/>
      <c r="G861" s="18"/>
      <c r="H861" s="18"/>
      <c r="I861" s="71"/>
      <c r="J861" s="71"/>
      <c r="K861" s="71"/>
      <c r="L861" s="71"/>
      <c r="M861" s="71"/>
      <c r="N861" s="71"/>
      <c r="O861" s="71"/>
      <c r="P861" s="46"/>
      <c r="Q861" s="46"/>
      <c r="R861" s="46"/>
      <c r="S861" s="46"/>
      <c r="T861" s="46"/>
      <c r="U861" s="50"/>
      <c r="V861" s="46"/>
    </row>
    <row r="862" spans="2:22" s="27" customFormat="1">
      <c r="B862" s="18"/>
      <c r="C862" s="18"/>
      <c r="D862" s="18"/>
      <c r="E862" s="18"/>
      <c r="F862" s="18"/>
      <c r="G862" s="18"/>
      <c r="H862" s="18"/>
      <c r="I862" s="71"/>
      <c r="J862" s="71"/>
      <c r="K862" s="71"/>
      <c r="L862" s="71"/>
      <c r="M862" s="71"/>
      <c r="N862" s="71"/>
      <c r="O862" s="71"/>
      <c r="P862" s="46"/>
      <c r="Q862" s="46"/>
      <c r="R862" s="46"/>
      <c r="S862" s="46"/>
      <c r="T862" s="46"/>
      <c r="U862" s="50"/>
      <c r="V862" s="46"/>
    </row>
    <row r="863" spans="2:22" s="27" customFormat="1">
      <c r="B863" s="18"/>
      <c r="C863" s="18"/>
      <c r="D863" s="18"/>
      <c r="E863" s="18"/>
      <c r="F863" s="18"/>
      <c r="G863" s="18"/>
      <c r="H863" s="18"/>
      <c r="I863" s="71"/>
      <c r="J863" s="71"/>
      <c r="K863" s="71"/>
      <c r="L863" s="71"/>
      <c r="M863" s="71"/>
      <c r="N863" s="71"/>
      <c r="O863" s="71"/>
      <c r="P863" s="46"/>
      <c r="Q863" s="46"/>
      <c r="R863" s="46"/>
      <c r="S863" s="46"/>
      <c r="T863" s="46"/>
      <c r="U863" s="50"/>
      <c r="V863" s="46"/>
    </row>
    <row r="864" spans="2:22" s="27" customFormat="1">
      <c r="B864" s="18"/>
      <c r="C864" s="18"/>
      <c r="D864" s="18"/>
      <c r="E864" s="18"/>
      <c r="F864" s="18"/>
      <c r="G864" s="18"/>
      <c r="H864" s="18"/>
      <c r="I864" s="71"/>
      <c r="J864" s="71"/>
      <c r="K864" s="71"/>
      <c r="L864" s="71"/>
      <c r="M864" s="71"/>
      <c r="N864" s="71"/>
      <c r="O864" s="71"/>
      <c r="P864" s="46"/>
      <c r="Q864" s="46"/>
      <c r="R864" s="46"/>
      <c r="S864" s="46"/>
      <c r="T864" s="46"/>
      <c r="U864" s="50"/>
      <c r="V864" s="46"/>
    </row>
    <row r="865" spans="2:22" s="27" customFormat="1">
      <c r="B865" s="18"/>
      <c r="C865" s="18"/>
      <c r="D865" s="18"/>
      <c r="E865" s="18"/>
      <c r="F865" s="18"/>
      <c r="G865" s="18"/>
      <c r="H865" s="18"/>
      <c r="I865" s="71"/>
      <c r="J865" s="71"/>
      <c r="K865" s="71"/>
      <c r="L865" s="71"/>
      <c r="M865" s="71"/>
      <c r="N865" s="71"/>
      <c r="O865" s="71"/>
      <c r="P865" s="46"/>
      <c r="Q865" s="46"/>
      <c r="R865" s="46"/>
      <c r="S865" s="46"/>
      <c r="T865" s="46"/>
      <c r="U865" s="50"/>
      <c r="V865" s="46"/>
    </row>
    <row r="866" spans="2:22" s="27" customFormat="1">
      <c r="B866" s="18"/>
      <c r="C866" s="18"/>
      <c r="D866" s="18"/>
      <c r="E866" s="18"/>
      <c r="F866" s="18"/>
      <c r="G866" s="18"/>
      <c r="H866" s="18"/>
      <c r="I866" s="71"/>
      <c r="J866" s="71"/>
      <c r="K866" s="71"/>
      <c r="L866" s="71"/>
      <c r="M866" s="71"/>
      <c r="N866" s="71"/>
      <c r="O866" s="71"/>
      <c r="P866" s="46"/>
      <c r="Q866" s="46"/>
      <c r="R866" s="46"/>
      <c r="S866" s="46"/>
      <c r="T866" s="46"/>
      <c r="U866" s="50"/>
      <c r="V866" s="46"/>
    </row>
  </sheetData>
  <mergeCells count="1">
    <mergeCell ref="B1:V1"/>
  </mergeCells>
  <phoneticPr fontId="2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Q281"/>
  <sheetViews>
    <sheetView topLeftCell="A241" workbookViewId="0">
      <selection activeCell="B269" sqref="B269"/>
    </sheetView>
  </sheetViews>
  <sheetFormatPr defaultRowHeight="12.75" customHeight="1"/>
  <cols>
    <col min="2" max="2" width="42.28515625" style="78" customWidth="1"/>
    <col min="3" max="3" width="37.7109375" style="78" customWidth="1"/>
    <col min="4" max="4" width="12.7109375" style="114" customWidth="1"/>
    <col min="5" max="5" width="14.5703125" style="114" customWidth="1"/>
    <col min="6" max="6" width="12.7109375" style="78" customWidth="1"/>
    <col min="7" max="7" width="12.7109375" style="114" customWidth="1"/>
    <col min="8" max="11" width="12.7109375" style="78" customWidth="1"/>
    <col min="12" max="15" width="12.7109375" customWidth="1"/>
  </cols>
  <sheetData>
    <row r="1" spans="1:17" ht="12.75" customHeight="1" thickBot="1">
      <c r="F1" s="158" t="s">
        <v>66</v>
      </c>
      <c r="G1" s="158"/>
      <c r="H1" s="158"/>
      <c r="I1" s="158"/>
      <c r="J1" s="158"/>
      <c r="K1" s="158"/>
      <c r="L1" s="158"/>
      <c r="M1" s="158"/>
      <c r="N1" s="158"/>
      <c r="O1" s="158"/>
    </row>
    <row r="2" spans="1:17" ht="12.75" customHeight="1" thickBot="1">
      <c r="B2" s="99" t="s">
        <v>64</v>
      </c>
      <c r="C2" s="98" t="s">
        <v>65</v>
      </c>
      <c r="D2" s="22" t="s">
        <v>67</v>
      </c>
      <c r="E2" s="23" t="s">
        <v>68</v>
      </c>
      <c r="F2" s="23" t="s">
        <v>69</v>
      </c>
      <c r="G2" s="23" t="s">
        <v>70</v>
      </c>
      <c r="H2" s="24" t="s">
        <v>71</v>
      </c>
      <c r="I2" s="24" t="s">
        <v>72</v>
      </c>
      <c r="J2" s="24" t="s">
        <v>73</v>
      </c>
      <c r="K2" s="92" t="s">
        <v>74</v>
      </c>
      <c r="L2" s="92" t="s">
        <v>75</v>
      </c>
      <c r="M2" s="92" t="s">
        <v>76</v>
      </c>
      <c r="N2" s="92" t="s">
        <v>77</v>
      </c>
      <c r="O2" s="92" t="s">
        <v>78</v>
      </c>
      <c r="P2" s="95" t="s">
        <v>79</v>
      </c>
      <c r="Q2" s="9" t="s">
        <v>81</v>
      </c>
    </row>
    <row r="3" spans="1:17" ht="12.75" customHeight="1">
      <c r="A3">
        <v>1</v>
      </c>
      <c r="B3" s="77" t="s">
        <v>553</v>
      </c>
      <c r="C3" s="78" t="s">
        <v>554</v>
      </c>
      <c r="K3" s="114" t="s">
        <v>89</v>
      </c>
      <c r="L3" s="110" t="s">
        <v>89</v>
      </c>
    </row>
    <row r="4" spans="1:17" ht="12.75" customHeight="1">
      <c r="A4">
        <v>2</v>
      </c>
      <c r="B4" s="77" t="s">
        <v>555</v>
      </c>
      <c r="C4" s="78" t="s">
        <v>556</v>
      </c>
      <c r="K4" s="114" t="s">
        <v>89</v>
      </c>
      <c r="L4" s="110" t="s">
        <v>89</v>
      </c>
    </row>
    <row r="5" spans="1:17" ht="12.75" customHeight="1">
      <c r="A5">
        <v>3</v>
      </c>
      <c r="B5" s="77" t="s">
        <v>557</v>
      </c>
      <c r="C5" s="78" t="s">
        <v>558</v>
      </c>
      <c r="G5" s="114" t="s">
        <v>89</v>
      </c>
      <c r="K5" s="114" t="s">
        <v>89</v>
      </c>
      <c r="L5" s="110" t="s">
        <v>89</v>
      </c>
    </row>
    <row r="6" spans="1:17" ht="12.75" customHeight="1">
      <c r="A6">
        <v>4</v>
      </c>
      <c r="B6" s="77" t="s">
        <v>559</v>
      </c>
      <c r="C6" s="78" t="s">
        <v>560</v>
      </c>
      <c r="D6" s="114" t="s">
        <v>89</v>
      </c>
      <c r="E6" s="114" t="s">
        <v>89</v>
      </c>
      <c r="G6" s="114" t="s">
        <v>89</v>
      </c>
      <c r="K6" s="114" t="s">
        <v>89</v>
      </c>
      <c r="L6" s="110" t="s">
        <v>89</v>
      </c>
    </row>
    <row r="7" spans="1:17" ht="12.75" customHeight="1">
      <c r="A7">
        <v>5</v>
      </c>
      <c r="B7" s="77" t="s">
        <v>561</v>
      </c>
      <c r="C7" s="78" t="s">
        <v>562</v>
      </c>
      <c r="D7" s="114" t="s">
        <v>89</v>
      </c>
      <c r="E7" s="114" t="s">
        <v>89</v>
      </c>
      <c r="G7" s="114" t="s">
        <v>89</v>
      </c>
      <c r="K7" s="114" t="s">
        <v>89</v>
      </c>
      <c r="L7" s="110" t="s">
        <v>89</v>
      </c>
    </row>
    <row r="8" spans="1:17" ht="12.75" customHeight="1">
      <c r="A8">
        <v>6</v>
      </c>
      <c r="B8" s="79" t="s">
        <v>563</v>
      </c>
      <c r="C8" s="78" t="s">
        <v>564</v>
      </c>
      <c r="K8" s="114" t="s">
        <v>89</v>
      </c>
      <c r="L8" s="110" t="s">
        <v>89</v>
      </c>
    </row>
    <row r="9" spans="1:17" ht="12.75" customHeight="1">
      <c r="A9">
        <v>7</v>
      </c>
      <c r="B9" s="77" t="s">
        <v>565</v>
      </c>
      <c r="C9" s="78" t="s">
        <v>566</v>
      </c>
      <c r="K9" s="114" t="s">
        <v>89</v>
      </c>
      <c r="L9" s="110" t="s">
        <v>89</v>
      </c>
    </row>
    <row r="10" spans="1:17" ht="12.75" customHeight="1">
      <c r="A10">
        <v>8</v>
      </c>
      <c r="B10" s="77" t="s">
        <v>567</v>
      </c>
      <c r="C10" s="78" t="s">
        <v>568</v>
      </c>
      <c r="K10" s="114" t="s">
        <v>89</v>
      </c>
      <c r="L10" s="110" t="s">
        <v>89</v>
      </c>
    </row>
    <row r="11" spans="1:17" ht="12.75" customHeight="1">
      <c r="A11">
        <v>9</v>
      </c>
      <c r="B11" s="79" t="s">
        <v>569</v>
      </c>
      <c r="C11" s="78" t="s">
        <v>570</v>
      </c>
      <c r="E11" s="114" t="s">
        <v>89</v>
      </c>
      <c r="G11" s="114" t="s">
        <v>89</v>
      </c>
      <c r="K11" s="114" t="s">
        <v>89</v>
      </c>
      <c r="L11" s="110" t="s">
        <v>89</v>
      </c>
    </row>
    <row r="12" spans="1:17" ht="12.75" customHeight="1">
      <c r="A12">
        <v>10</v>
      </c>
      <c r="B12" s="77" t="s">
        <v>571</v>
      </c>
      <c r="C12" s="78" t="s">
        <v>572</v>
      </c>
      <c r="D12" s="114" t="s">
        <v>89</v>
      </c>
      <c r="E12" s="114" t="s">
        <v>89</v>
      </c>
      <c r="K12" s="114" t="s">
        <v>89</v>
      </c>
      <c r="L12" s="110" t="s">
        <v>89</v>
      </c>
    </row>
    <row r="13" spans="1:17" ht="12.75" customHeight="1">
      <c r="A13">
        <v>11</v>
      </c>
      <c r="B13" s="77" t="s">
        <v>573</v>
      </c>
      <c r="C13" s="78" t="s">
        <v>574</v>
      </c>
      <c r="D13" s="114" t="s">
        <v>89</v>
      </c>
      <c r="E13" s="114" t="s">
        <v>89</v>
      </c>
      <c r="G13" s="114" t="s">
        <v>89</v>
      </c>
      <c r="K13" s="114" t="s">
        <v>89</v>
      </c>
      <c r="L13" s="110" t="s">
        <v>89</v>
      </c>
    </row>
    <row r="14" spans="1:17" ht="12.75" customHeight="1">
      <c r="A14">
        <v>12</v>
      </c>
      <c r="B14" s="77" t="s">
        <v>575</v>
      </c>
      <c r="C14" s="78" t="s">
        <v>576</v>
      </c>
      <c r="D14" s="114" t="s">
        <v>89</v>
      </c>
      <c r="E14" s="114" t="s">
        <v>89</v>
      </c>
      <c r="K14" s="114" t="s">
        <v>89</v>
      </c>
      <c r="L14" s="110" t="s">
        <v>89</v>
      </c>
    </row>
    <row r="15" spans="1:17" ht="12.75" customHeight="1">
      <c r="A15">
        <v>13</v>
      </c>
      <c r="B15" s="77" t="s">
        <v>577</v>
      </c>
      <c r="C15" s="78" t="s">
        <v>578</v>
      </c>
      <c r="E15" s="114" t="s">
        <v>89</v>
      </c>
      <c r="K15" s="114" t="s">
        <v>89</v>
      </c>
      <c r="L15" s="110" t="s">
        <v>89</v>
      </c>
    </row>
    <row r="16" spans="1:17" ht="12.75" customHeight="1">
      <c r="A16">
        <v>14</v>
      </c>
      <c r="B16" s="77" t="s">
        <v>579</v>
      </c>
      <c r="C16" s="78" t="s">
        <v>580</v>
      </c>
      <c r="K16" s="114" t="s">
        <v>89</v>
      </c>
      <c r="L16" s="110" t="s">
        <v>89</v>
      </c>
    </row>
    <row r="17" spans="1:12" ht="12.75" customHeight="1">
      <c r="A17">
        <v>15</v>
      </c>
      <c r="B17" s="77" t="s">
        <v>581</v>
      </c>
      <c r="C17" s="78" t="s">
        <v>582</v>
      </c>
      <c r="D17" s="114" t="s">
        <v>89</v>
      </c>
      <c r="K17" s="114" t="s">
        <v>89</v>
      </c>
      <c r="L17" s="110" t="s">
        <v>89</v>
      </c>
    </row>
    <row r="18" spans="1:12" ht="12.75" customHeight="1">
      <c r="A18">
        <v>16</v>
      </c>
      <c r="B18" s="77" t="s">
        <v>583</v>
      </c>
      <c r="C18" s="78" t="s">
        <v>584</v>
      </c>
      <c r="K18" s="114" t="s">
        <v>89</v>
      </c>
      <c r="L18" s="110" t="s">
        <v>89</v>
      </c>
    </row>
    <row r="19" spans="1:12" ht="12.75" customHeight="1">
      <c r="A19">
        <v>17</v>
      </c>
      <c r="B19" s="77" t="s">
        <v>585</v>
      </c>
      <c r="C19" s="78" t="s">
        <v>586</v>
      </c>
      <c r="E19" s="114" t="s">
        <v>89</v>
      </c>
      <c r="G19" s="114" t="s">
        <v>89</v>
      </c>
      <c r="K19" s="114" t="s">
        <v>89</v>
      </c>
      <c r="L19" s="110" t="s">
        <v>89</v>
      </c>
    </row>
    <row r="20" spans="1:12" ht="12.75" customHeight="1">
      <c r="A20">
        <v>18</v>
      </c>
      <c r="B20" s="77" t="s">
        <v>587</v>
      </c>
      <c r="C20" s="78" t="s">
        <v>588</v>
      </c>
      <c r="D20" s="114" t="s">
        <v>89</v>
      </c>
      <c r="G20" s="114" t="s">
        <v>89</v>
      </c>
      <c r="K20" s="114"/>
      <c r="L20" s="110"/>
    </row>
    <row r="21" spans="1:12" ht="12.75" customHeight="1">
      <c r="A21">
        <v>19</v>
      </c>
      <c r="B21" s="77" t="s">
        <v>589</v>
      </c>
      <c r="C21" s="78" t="s">
        <v>590</v>
      </c>
      <c r="K21" s="114" t="s">
        <v>89</v>
      </c>
      <c r="L21" s="110" t="s">
        <v>89</v>
      </c>
    </row>
    <row r="22" spans="1:12" ht="12.75" customHeight="1">
      <c r="A22">
        <v>20</v>
      </c>
      <c r="B22" s="77" t="s">
        <v>591</v>
      </c>
      <c r="C22" s="78" t="s">
        <v>592</v>
      </c>
      <c r="K22" s="114" t="s">
        <v>89</v>
      </c>
      <c r="L22" s="110" t="s">
        <v>89</v>
      </c>
    </row>
    <row r="23" spans="1:12" ht="12.75" customHeight="1">
      <c r="A23">
        <v>21</v>
      </c>
      <c r="B23" s="77" t="s">
        <v>593</v>
      </c>
      <c r="C23" s="78" t="s">
        <v>594</v>
      </c>
      <c r="D23" s="114" t="s">
        <v>89</v>
      </c>
      <c r="G23" s="114" t="s">
        <v>89</v>
      </c>
      <c r="K23" s="114" t="s">
        <v>89</v>
      </c>
      <c r="L23" s="110" t="s">
        <v>89</v>
      </c>
    </row>
    <row r="24" spans="1:12" ht="12.75" customHeight="1">
      <c r="A24">
        <v>22</v>
      </c>
      <c r="B24" s="77" t="s">
        <v>595</v>
      </c>
      <c r="C24" s="78" t="s">
        <v>596</v>
      </c>
      <c r="D24" s="114" t="s">
        <v>89</v>
      </c>
      <c r="K24" s="114" t="s">
        <v>89</v>
      </c>
      <c r="L24" s="110" t="s">
        <v>89</v>
      </c>
    </row>
    <row r="25" spans="1:12" ht="12.75" customHeight="1">
      <c r="A25">
        <v>23</v>
      </c>
      <c r="B25" s="79" t="s">
        <v>597</v>
      </c>
      <c r="C25" s="78" t="s">
        <v>598</v>
      </c>
      <c r="D25" s="114" t="s">
        <v>89</v>
      </c>
      <c r="K25" s="114"/>
      <c r="L25" s="110"/>
    </row>
    <row r="26" spans="1:12" ht="12.75" customHeight="1">
      <c r="A26">
        <v>24</v>
      </c>
      <c r="B26" s="79" t="s">
        <v>599</v>
      </c>
      <c r="C26" s="78" t="s">
        <v>600</v>
      </c>
      <c r="D26" s="114" t="s">
        <v>89</v>
      </c>
      <c r="E26" s="114" t="s">
        <v>89</v>
      </c>
      <c r="K26" s="114"/>
      <c r="L26" s="110"/>
    </row>
    <row r="27" spans="1:12" ht="12.75" customHeight="1">
      <c r="A27">
        <v>25</v>
      </c>
      <c r="B27" s="79" t="s">
        <v>601</v>
      </c>
      <c r="C27" s="78" t="s">
        <v>602</v>
      </c>
      <c r="E27" s="114" t="s">
        <v>89</v>
      </c>
      <c r="G27" s="114" t="s">
        <v>89</v>
      </c>
      <c r="K27" s="114" t="s">
        <v>89</v>
      </c>
      <c r="L27" s="110" t="s">
        <v>89</v>
      </c>
    </row>
    <row r="28" spans="1:12" ht="12.75" customHeight="1">
      <c r="A28">
        <v>26</v>
      </c>
      <c r="B28" s="77" t="s">
        <v>603</v>
      </c>
      <c r="C28" s="78" t="s">
        <v>604</v>
      </c>
      <c r="D28" s="114" t="s">
        <v>89</v>
      </c>
      <c r="E28" s="114" t="s">
        <v>89</v>
      </c>
      <c r="G28" s="114" t="s">
        <v>89</v>
      </c>
      <c r="K28" s="114" t="s">
        <v>89</v>
      </c>
      <c r="L28" s="110" t="s">
        <v>89</v>
      </c>
    </row>
    <row r="29" spans="1:12" ht="12.75" customHeight="1">
      <c r="A29">
        <v>27</v>
      </c>
      <c r="B29" s="77" t="s">
        <v>605</v>
      </c>
      <c r="C29" s="78" t="s">
        <v>606</v>
      </c>
      <c r="E29" s="114" t="s">
        <v>89</v>
      </c>
      <c r="K29" s="114" t="s">
        <v>89</v>
      </c>
      <c r="L29" s="110" t="s">
        <v>89</v>
      </c>
    </row>
    <row r="30" spans="1:12" ht="12.75" customHeight="1">
      <c r="A30">
        <v>28</v>
      </c>
      <c r="B30" s="77" t="s">
        <v>607</v>
      </c>
      <c r="C30" s="78" t="s">
        <v>608</v>
      </c>
      <c r="E30" s="114" t="s">
        <v>89</v>
      </c>
      <c r="G30" s="114" t="s">
        <v>89</v>
      </c>
      <c r="K30" s="114" t="s">
        <v>89</v>
      </c>
      <c r="L30" s="110" t="s">
        <v>89</v>
      </c>
    </row>
    <row r="31" spans="1:12" ht="12.75" customHeight="1">
      <c r="A31">
        <v>29</v>
      </c>
      <c r="B31" s="77" t="s">
        <v>609</v>
      </c>
      <c r="C31" s="78" t="s">
        <v>610</v>
      </c>
      <c r="K31" s="114" t="s">
        <v>89</v>
      </c>
      <c r="L31" s="110" t="s">
        <v>89</v>
      </c>
    </row>
    <row r="32" spans="1:12" ht="12.75" customHeight="1">
      <c r="A32">
        <v>30</v>
      </c>
      <c r="B32" s="77" t="s">
        <v>611</v>
      </c>
      <c r="C32" s="78" t="s">
        <v>612</v>
      </c>
      <c r="G32" s="114" t="s">
        <v>89</v>
      </c>
      <c r="K32" s="114" t="s">
        <v>89</v>
      </c>
      <c r="L32" s="110" t="s">
        <v>89</v>
      </c>
    </row>
    <row r="33" spans="1:12" ht="12.75" customHeight="1">
      <c r="A33">
        <v>31</v>
      </c>
      <c r="B33" s="77" t="s">
        <v>613</v>
      </c>
      <c r="C33" s="78" t="s">
        <v>614</v>
      </c>
      <c r="E33" s="114" t="s">
        <v>89</v>
      </c>
      <c r="K33" s="114" t="s">
        <v>89</v>
      </c>
      <c r="L33" s="110" t="s">
        <v>89</v>
      </c>
    </row>
    <row r="34" spans="1:12" ht="12.75" customHeight="1">
      <c r="A34">
        <v>32</v>
      </c>
      <c r="B34" s="77" t="s">
        <v>615</v>
      </c>
      <c r="C34" s="78" t="s">
        <v>616</v>
      </c>
      <c r="E34" s="114" t="s">
        <v>89</v>
      </c>
      <c r="G34" s="114" t="s">
        <v>89</v>
      </c>
      <c r="K34" s="114" t="s">
        <v>89</v>
      </c>
      <c r="L34" s="110" t="s">
        <v>89</v>
      </c>
    </row>
    <row r="35" spans="1:12" ht="12.75" customHeight="1">
      <c r="A35">
        <v>33</v>
      </c>
      <c r="B35" s="77" t="s">
        <v>617</v>
      </c>
      <c r="C35" s="78" t="s">
        <v>618</v>
      </c>
      <c r="K35" s="114" t="s">
        <v>89</v>
      </c>
      <c r="L35" s="110" t="s">
        <v>89</v>
      </c>
    </row>
    <row r="36" spans="1:12" ht="12.75" customHeight="1">
      <c r="A36">
        <v>34</v>
      </c>
      <c r="B36" s="77" t="s">
        <v>619</v>
      </c>
      <c r="C36" s="78" t="s">
        <v>620</v>
      </c>
      <c r="E36" s="114" t="s">
        <v>89</v>
      </c>
      <c r="K36" s="114" t="s">
        <v>89</v>
      </c>
      <c r="L36" s="110" t="s">
        <v>89</v>
      </c>
    </row>
    <row r="37" spans="1:12" ht="12.75" customHeight="1">
      <c r="A37">
        <v>35</v>
      </c>
      <c r="B37" s="77" t="s">
        <v>621</v>
      </c>
      <c r="C37" s="78" t="s">
        <v>622</v>
      </c>
      <c r="E37" s="114" t="s">
        <v>89</v>
      </c>
      <c r="K37" s="114" t="s">
        <v>89</v>
      </c>
      <c r="L37" s="110" t="s">
        <v>89</v>
      </c>
    </row>
    <row r="38" spans="1:12" ht="12.75" customHeight="1">
      <c r="A38">
        <v>36</v>
      </c>
      <c r="B38" s="77" t="s">
        <v>623</v>
      </c>
      <c r="C38" s="78" t="s">
        <v>624</v>
      </c>
      <c r="D38" s="114" t="s">
        <v>89</v>
      </c>
      <c r="K38" s="114" t="s">
        <v>89</v>
      </c>
      <c r="L38" s="110" t="s">
        <v>89</v>
      </c>
    </row>
    <row r="39" spans="1:12" ht="12.75" customHeight="1">
      <c r="A39">
        <v>37</v>
      </c>
      <c r="B39" s="77" t="s">
        <v>625</v>
      </c>
      <c r="C39" s="78" t="s">
        <v>626</v>
      </c>
      <c r="K39" s="114" t="s">
        <v>89</v>
      </c>
      <c r="L39" s="110" t="s">
        <v>89</v>
      </c>
    </row>
    <row r="40" spans="1:12" ht="12.75" customHeight="1">
      <c r="A40">
        <v>38</v>
      </c>
      <c r="B40" s="77" t="s">
        <v>627</v>
      </c>
      <c r="C40" s="78" t="s">
        <v>628</v>
      </c>
      <c r="D40" s="114" t="s">
        <v>89</v>
      </c>
      <c r="K40" s="114" t="s">
        <v>89</v>
      </c>
      <c r="L40" s="110" t="s">
        <v>89</v>
      </c>
    </row>
    <row r="41" spans="1:12" ht="12.75" customHeight="1">
      <c r="A41">
        <v>39</v>
      </c>
      <c r="B41" s="77" t="s">
        <v>629</v>
      </c>
      <c r="C41" s="78" t="s">
        <v>630</v>
      </c>
      <c r="E41" s="114" t="s">
        <v>89</v>
      </c>
      <c r="K41" s="114" t="s">
        <v>89</v>
      </c>
      <c r="L41" s="110" t="s">
        <v>89</v>
      </c>
    </row>
    <row r="42" spans="1:12" ht="12.75" customHeight="1">
      <c r="A42">
        <v>40</v>
      </c>
      <c r="B42" s="77" t="s">
        <v>631</v>
      </c>
      <c r="C42" s="78" t="s">
        <v>632</v>
      </c>
      <c r="K42" s="114" t="s">
        <v>89</v>
      </c>
      <c r="L42" s="110" t="s">
        <v>89</v>
      </c>
    </row>
    <row r="43" spans="1:12" ht="12.75" customHeight="1">
      <c r="A43">
        <v>41</v>
      </c>
      <c r="B43" s="77" t="s">
        <v>633</v>
      </c>
      <c r="C43" s="78" t="s">
        <v>634</v>
      </c>
      <c r="D43" s="114" t="s">
        <v>89</v>
      </c>
      <c r="K43" s="114"/>
      <c r="L43" s="110"/>
    </row>
    <row r="44" spans="1:12" ht="12.75" customHeight="1">
      <c r="A44">
        <v>42</v>
      </c>
      <c r="B44" s="77" t="s">
        <v>635</v>
      </c>
      <c r="C44" s="78" t="s">
        <v>636</v>
      </c>
      <c r="D44" s="114" t="s">
        <v>89</v>
      </c>
      <c r="K44" s="114"/>
      <c r="L44" s="110"/>
    </row>
    <row r="45" spans="1:12" ht="12.75" customHeight="1">
      <c r="A45">
        <v>43</v>
      </c>
      <c r="B45" s="77" t="s">
        <v>637</v>
      </c>
      <c r="C45" s="78" t="s">
        <v>638</v>
      </c>
      <c r="K45" s="114" t="s">
        <v>89</v>
      </c>
      <c r="L45" s="110" t="s">
        <v>89</v>
      </c>
    </row>
    <row r="46" spans="1:12" ht="12.75" customHeight="1">
      <c r="A46">
        <v>44</v>
      </c>
      <c r="B46" s="77" t="s">
        <v>639</v>
      </c>
      <c r="C46" s="78" t="s">
        <v>640</v>
      </c>
      <c r="D46" s="114" t="s">
        <v>89</v>
      </c>
      <c r="K46" s="114" t="s">
        <v>89</v>
      </c>
      <c r="L46" s="110" t="s">
        <v>89</v>
      </c>
    </row>
    <row r="47" spans="1:12" ht="12.75" customHeight="1">
      <c r="A47">
        <v>45</v>
      </c>
      <c r="B47" s="77" t="s">
        <v>641</v>
      </c>
      <c r="C47" s="78" t="s">
        <v>642</v>
      </c>
      <c r="K47" s="114" t="s">
        <v>89</v>
      </c>
      <c r="L47" s="110" t="s">
        <v>89</v>
      </c>
    </row>
    <row r="48" spans="1:12" ht="12.75" customHeight="1">
      <c r="A48">
        <v>46</v>
      </c>
      <c r="B48" s="77" t="s">
        <v>643</v>
      </c>
      <c r="C48" s="78" t="s">
        <v>644</v>
      </c>
      <c r="K48" s="114" t="s">
        <v>89</v>
      </c>
      <c r="L48" s="110" t="s">
        <v>89</v>
      </c>
    </row>
    <row r="49" spans="1:12" ht="12.75" customHeight="1">
      <c r="A49">
        <v>47</v>
      </c>
      <c r="B49" s="77" t="s">
        <v>645</v>
      </c>
      <c r="C49" s="78" t="s">
        <v>646</v>
      </c>
      <c r="K49" s="114" t="s">
        <v>89</v>
      </c>
      <c r="L49" s="110" t="s">
        <v>89</v>
      </c>
    </row>
    <row r="50" spans="1:12" ht="12.75" customHeight="1">
      <c r="A50">
        <v>48</v>
      </c>
      <c r="B50" s="77" t="s">
        <v>647</v>
      </c>
      <c r="C50" s="78" t="s">
        <v>648</v>
      </c>
      <c r="K50" s="114" t="s">
        <v>89</v>
      </c>
      <c r="L50" s="110" t="s">
        <v>89</v>
      </c>
    </row>
    <row r="51" spans="1:12" ht="12.75" customHeight="1">
      <c r="A51">
        <v>49</v>
      </c>
      <c r="B51" s="77" t="s">
        <v>649</v>
      </c>
      <c r="C51" s="78" t="s">
        <v>650</v>
      </c>
      <c r="K51" s="114" t="s">
        <v>89</v>
      </c>
      <c r="L51" s="110" t="s">
        <v>89</v>
      </c>
    </row>
    <row r="52" spans="1:12" ht="12.75" customHeight="1">
      <c r="A52">
        <v>50</v>
      </c>
      <c r="B52" s="77" t="s">
        <v>651</v>
      </c>
      <c r="C52" s="78" t="s">
        <v>652</v>
      </c>
      <c r="K52" s="114" t="s">
        <v>89</v>
      </c>
      <c r="L52" s="110" t="s">
        <v>89</v>
      </c>
    </row>
    <row r="53" spans="1:12" ht="12.75" customHeight="1">
      <c r="A53">
        <v>51</v>
      </c>
      <c r="B53" s="77" t="s">
        <v>653</v>
      </c>
      <c r="C53" s="78" t="s">
        <v>654</v>
      </c>
      <c r="D53" s="114" t="s">
        <v>89</v>
      </c>
      <c r="K53" s="114"/>
      <c r="L53" s="110"/>
    </row>
    <row r="54" spans="1:12" ht="12.75" customHeight="1">
      <c r="A54">
        <v>52</v>
      </c>
      <c r="B54" s="77" t="s">
        <v>655</v>
      </c>
      <c r="C54" s="78" t="s">
        <v>656</v>
      </c>
      <c r="K54" s="114" t="s">
        <v>89</v>
      </c>
      <c r="L54" s="110" t="s">
        <v>89</v>
      </c>
    </row>
    <row r="55" spans="1:12" ht="12.75" customHeight="1">
      <c r="A55">
        <v>53</v>
      </c>
      <c r="B55" s="79" t="s">
        <v>657</v>
      </c>
      <c r="C55" s="78" t="s">
        <v>658</v>
      </c>
      <c r="D55" s="114" t="s">
        <v>89</v>
      </c>
      <c r="K55" s="114"/>
      <c r="L55" s="110"/>
    </row>
    <row r="56" spans="1:12" ht="12.75" customHeight="1">
      <c r="A56">
        <v>54</v>
      </c>
      <c r="B56" s="136" t="s">
        <v>659</v>
      </c>
      <c r="C56" s="78" t="s">
        <v>660</v>
      </c>
      <c r="D56" s="114" t="s">
        <v>89</v>
      </c>
      <c r="K56" s="114" t="s">
        <v>89</v>
      </c>
      <c r="L56" s="110" t="s">
        <v>89</v>
      </c>
    </row>
    <row r="57" spans="1:12" ht="12.75" customHeight="1">
      <c r="A57">
        <v>55</v>
      </c>
      <c r="B57" s="77" t="s">
        <v>661</v>
      </c>
      <c r="C57" s="78" t="s">
        <v>662</v>
      </c>
      <c r="K57" s="114" t="s">
        <v>89</v>
      </c>
      <c r="L57" s="110" t="s">
        <v>89</v>
      </c>
    </row>
    <row r="58" spans="1:12" ht="12.75" customHeight="1">
      <c r="A58">
        <v>56</v>
      </c>
      <c r="B58" s="77" t="s">
        <v>663</v>
      </c>
      <c r="C58" s="78" t="s">
        <v>664</v>
      </c>
      <c r="K58" s="114" t="s">
        <v>89</v>
      </c>
      <c r="L58" s="110" t="s">
        <v>89</v>
      </c>
    </row>
    <row r="59" spans="1:12" ht="12.75" customHeight="1">
      <c r="A59">
        <v>57</v>
      </c>
      <c r="B59" s="77" t="s">
        <v>665</v>
      </c>
      <c r="C59" s="78" t="s">
        <v>666</v>
      </c>
      <c r="D59" s="114" t="s">
        <v>89</v>
      </c>
      <c r="K59" s="114" t="s">
        <v>89</v>
      </c>
      <c r="L59" s="110" t="s">
        <v>89</v>
      </c>
    </row>
    <row r="60" spans="1:12" ht="12.75" customHeight="1">
      <c r="A60">
        <v>58</v>
      </c>
      <c r="B60" s="77" t="s">
        <v>667</v>
      </c>
      <c r="C60" s="78" t="s">
        <v>668</v>
      </c>
      <c r="D60" s="114" t="s">
        <v>89</v>
      </c>
      <c r="E60" s="114" t="s">
        <v>89</v>
      </c>
      <c r="G60" s="114" t="s">
        <v>89</v>
      </c>
      <c r="K60" s="114" t="s">
        <v>89</v>
      </c>
      <c r="L60" s="110" t="s">
        <v>89</v>
      </c>
    </row>
    <row r="61" spans="1:12" ht="12.75" customHeight="1">
      <c r="A61">
        <v>59</v>
      </c>
      <c r="B61" s="77" t="s">
        <v>669</v>
      </c>
      <c r="C61" s="78" t="s">
        <v>670</v>
      </c>
      <c r="E61" s="114" t="s">
        <v>89</v>
      </c>
      <c r="K61" s="114" t="s">
        <v>89</v>
      </c>
      <c r="L61" s="110" t="s">
        <v>89</v>
      </c>
    </row>
    <row r="62" spans="1:12" ht="12.75" customHeight="1">
      <c r="A62">
        <v>60</v>
      </c>
      <c r="B62" s="77" t="s">
        <v>671</v>
      </c>
      <c r="C62" s="78" t="s">
        <v>672</v>
      </c>
      <c r="D62" s="114" t="s">
        <v>89</v>
      </c>
      <c r="E62" s="114" t="s">
        <v>89</v>
      </c>
      <c r="G62" s="114" t="s">
        <v>89</v>
      </c>
      <c r="K62" s="114" t="s">
        <v>89</v>
      </c>
      <c r="L62" s="110" t="s">
        <v>89</v>
      </c>
    </row>
    <row r="63" spans="1:12" ht="12.75" customHeight="1">
      <c r="A63">
        <v>61</v>
      </c>
      <c r="B63" s="79" t="s">
        <v>673</v>
      </c>
      <c r="C63" s="78" t="s">
        <v>674</v>
      </c>
      <c r="D63" s="114" t="s">
        <v>89</v>
      </c>
      <c r="E63" s="114" t="s">
        <v>89</v>
      </c>
      <c r="K63" s="114" t="s">
        <v>89</v>
      </c>
      <c r="L63" s="110" t="s">
        <v>89</v>
      </c>
    </row>
    <row r="64" spans="1:12" ht="12.75" customHeight="1">
      <c r="A64">
        <v>62</v>
      </c>
      <c r="B64" s="77" t="s">
        <v>675</v>
      </c>
      <c r="C64" s="78" t="s">
        <v>676</v>
      </c>
      <c r="K64" s="114" t="s">
        <v>89</v>
      </c>
      <c r="L64" s="110" t="s">
        <v>89</v>
      </c>
    </row>
    <row r="65" spans="1:12" ht="12.75" customHeight="1">
      <c r="A65">
        <v>63</v>
      </c>
      <c r="B65" s="77" t="s">
        <v>677</v>
      </c>
      <c r="C65" s="78" t="s">
        <v>678</v>
      </c>
      <c r="E65" s="114" t="s">
        <v>89</v>
      </c>
      <c r="K65" s="114" t="s">
        <v>89</v>
      </c>
      <c r="L65" s="110" t="s">
        <v>89</v>
      </c>
    </row>
    <row r="66" spans="1:12" ht="12.75" customHeight="1">
      <c r="A66">
        <v>64</v>
      </c>
      <c r="B66" s="77" t="s">
        <v>679</v>
      </c>
      <c r="C66" s="78" t="s">
        <v>680</v>
      </c>
      <c r="D66" s="114" t="s">
        <v>89</v>
      </c>
      <c r="K66" s="114"/>
      <c r="L66" s="110"/>
    </row>
    <row r="67" spans="1:12" ht="12.75" customHeight="1">
      <c r="A67">
        <v>65</v>
      </c>
      <c r="B67" s="77" t="s">
        <v>681</v>
      </c>
      <c r="C67" s="78" t="s">
        <v>682</v>
      </c>
      <c r="K67" s="114" t="s">
        <v>89</v>
      </c>
      <c r="L67" s="110" t="s">
        <v>89</v>
      </c>
    </row>
    <row r="68" spans="1:12" ht="12.75" customHeight="1">
      <c r="A68">
        <v>66</v>
      </c>
      <c r="B68" s="77" t="s">
        <v>683</v>
      </c>
      <c r="C68" s="78" t="s">
        <v>684</v>
      </c>
      <c r="D68" s="114" t="s">
        <v>89</v>
      </c>
      <c r="K68" s="114"/>
      <c r="L68" s="110"/>
    </row>
    <row r="69" spans="1:12" ht="12.75" customHeight="1">
      <c r="A69">
        <v>67</v>
      </c>
      <c r="B69" s="77" t="s">
        <v>685</v>
      </c>
      <c r="C69" s="78" t="s">
        <v>686</v>
      </c>
      <c r="K69" s="114" t="s">
        <v>89</v>
      </c>
      <c r="L69" s="110" t="s">
        <v>89</v>
      </c>
    </row>
    <row r="70" spans="1:12" ht="12.75" customHeight="1">
      <c r="A70">
        <v>68</v>
      </c>
      <c r="B70" s="77" t="s">
        <v>687</v>
      </c>
      <c r="C70" s="78" t="s">
        <v>688</v>
      </c>
      <c r="D70" s="114" t="s">
        <v>89</v>
      </c>
      <c r="K70" s="114"/>
      <c r="L70" s="110"/>
    </row>
    <row r="71" spans="1:12" ht="12.75" customHeight="1">
      <c r="A71">
        <v>69</v>
      </c>
      <c r="B71" s="77" t="s">
        <v>689</v>
      </c>
      <c r="C71" s="78" t="s">
        <v>690</v>
      </c>
      <c r="K71" s="114" t="s">
        <v>89</v>
      </c>
      <c r="L71" s="110" t="s">
        <v>89</v>
      </c>
    </row>
    <row r="72" spans="1:12" ht="12.75" customHeight="1">
      <c r="A72">
        <v>70</v>
      </c>
      <c r="B72" s="77" t="s">
        <v>691</v>
      </c>
      <c r="C72" s="78" t="s">
        <v>692</v>
      </c>
      <c r="E72" s="114" t="s">
        <v>89</v>
      </c>
      <c r="G72" s="114" t="s">
        <v>89</v>
      </c>
      <c r="K72" s="114" t="s">
        <v>89</v>
      </c>
      <c r="L72" s="110" t="s">
        <v>89</v>
      </c>
    </row>
    <row r="73" spans="1:12" ht="12.75" customHeight="1">
      <c r="A73">
        <v>71</v>
      </c>
      <c r="B73" s="77" t="s">
        <v>693</v>
      </c>
      <c r="C73" s="78" t="s">
        <v>694</v>
      </c>
      <c r="D73" s="114" t="s">
        <v>89</v>
      </c>
      <c r="K73" s="114"/>
      <c r="L73" s="110"/>
    </row>
    <row r="74" spans="1:12" ht="12.75" customHeight="1">
      <c r="A74">
        <v>72</v>
      </c>
      <c r="B74" s="77" t="s">
        <v>695</v>
      </c>
      <c r="C74" s="78" t="s">
        <v>696</v>
      </c>
      <c r="E74" s="114" t="s">
        <v>89</v>
      </c>
      <c r="K74" s="114" t="s">
        <v>89</v>
      </c>
      <c r="L74" s="110" t="s">
        <v>89</v>
      </c>
    </row>
    <row r="75" spans="1:12" ht="12.75" customHeight="1">
      <c r="A75">
        <v>73</v>
      </c>
      <c r="B75" s="77" t="s">
        <v>697</v>
      </c>
      <c r="C75" s="78" t="s">
        <v>698</v>
      </c>
      <c r="G75" s="114" t="s">
        <v>89</v>
      </c>
      <c r="K75" s="114" t="s">
        <v>89</v>
      </c>
      <c r="L75" s="110" t="s">
        <v>89</v>
      </c>
    </row>
    <row r="76" spans="1:12" ht="12.75" customHeight="1">
      <c r="A76">
        <v>74</v>
      </c>
      <c r="B76" s="77" t="s">
        <v>699</v>
      </c>
      <c r="C76" s="78" t="s">
        <v>700</v>
      </c>
      <c r="G76" s="114" t="s">
        <v>89</v>
      </c>
      <c r="K76" s="114" t="s">
        <v>89</v>
      </c>
      <c r="L76" s="110" t="s">
        <v>89</v>
      </c>
    </row>
    <row r="77" spans="1:12" ht="12.75" customHeight="1">
      <c r="A77">
        <v>75</v>
      </c>
      <c r="B77" s="77" t="s">
        <v>701</v>
      </c>
      <c r="C77" s="78" t="s">
        <v>702</v>
      </c>
      <c r="G77" s="114" t="s">
        <v>89</v>
      </c>
      <c r="K77" s="114" t="s">
        <v>89</v>
      </c>
      <c r="L77" s="110" t="s">
        <v>89</v>
      </c>
    </row>
    <row r="78" spans="1:12" ht="12.75" customHeight="1">
      <c r="A78">
        <v>76</v>
      </c>
      <c r="B78" s="77" t="s">
        <v>703</v>
      </c>
      <c r="C78" s="78" t="s">
        <v>704</v>
      </c>
      <c r="K78" s="114" t="s">
        <v>89</v>
      </c>
      <c r="L78" s="110" t="s">
        <v>89</v>
      </c>
    </row>
    <row r="79" spans="1:12" ht="12.75" customHeight="1">
      <c r="A79">
        <v>77</v>
      </c>
      <c r="B79" s="77" t="s">
        <v>705</v>
      </c>
      <c r="C79" s="78" t="s">
        <v>706</v>
      </c>
      <c r="K79" s="114" t="s">
        <v>89</v>
      </c>
      <c r="L79" s="110" t="s">
        <v>89</v>
      </c>
    </row>
    <row r="80" spans="1:12" ht="12.75" customHeight="1">
      <c r="A80">
        <v>78</v>
      </c>
      <c r="B80" s="77" t="s">
        <v>707</v>
      </c>
      <c r="C80" s="78" t="s">
        <v>708</v>
      </c>
      <c r="K80" s="114" t="s">
        <v>89</v>
      </c>
      <c r="L80" s="110" t="s">
        <v>89</v>
      </c>
    </row>
    <row r="81" spans="1:12" ht="12.75" customHeight="1">
      <c r="A81">
        <v>79</v>
      </c>
      <c r="B81" s="77" t="s">
        <v>709</v>
      </c>
      <c r="C81" s="78" t="s">
        <v>710</v>
      </c>
      <c r="E81" s="114" t="s">
        <v>89</v>
      </c>
      <c r="K81" s="114" t="s">
        <v>89</v>
      </c>
      <c r="L81" s="110" t="s">
        <v>89</v>
      </c>
    </row>
    <row r="82" spans="1:12" ht="12.75" customHeight="1">
      <c r="A82">
        <v>80</v>
      </c>
      <c r="B82" s="79" t="s">
        <v>711</v>
      </c>
      <c r="C82" s="78" t="s">
        <v>712</v>
      </c>
      <c r="D82" s="114" t="s">
        <v>89</v>
      </c>
      <c r="K82" s="114" t="s">
        <v>89</v>
      </c>
      <c r="L82" s="110" t="s">
        <v>89</v>
      </c>
    </row>
    <row r="83" spans="1:12" ht="12.75" customHeight="1">
      <c r="A83">
        <v>81</v>
      </c>
      <c r="B83" s="77" t="s">
        <v>713</v>
      </c>
      <c r="C83" s="78" t="s">
        <v>714</v>
      </c>
      <c r="D83" s="114" t="s">
        <v>89</v>
      </c>
      <c r="G83" s="114" t="s">
        <v>89</v>
      </c>
      <c r="K83" s="114" t="s">
        <v>89</v>
      </c>
      <c r="L83" s="110" t="s">
        <v>89</v>
      </c>
    </row>
    <row r="84" spans="1:12" ht="12.75" customHeight="1">
      <c r="A84">
        <v>82</v>
      </c>
      <c r="B84" s="77" t="s">
        <v>715</v>
      </c>
      <c r="C84" s="78" t="s">
        <v>716</v>
      </c>
      <c r="D84" s="114" t="s">
        <v>89</v>
      </c>
      <c r="K84" s="114" t="s">
        <v>89</v>
      </c>
      <c r="L84" s="110" t="s">
        <v>89</v>
      </c>
    </row>
    <row r="85" spans="1:12" ht="12.75" customHeight="1">
      <c r="A85">
        <v>83</v>
      </c>
      <c r="B85" s="77" t="s">
        <v>717</v>
      </c>
      <c r="C85" s="78" t="s">
        <v>718</v>
      </c>
      <c r="K85" s="114" t="s">
        <v>89</v>
      </c>
      <c r="L85" s="110" t="s">
        <v>89</v>
      </c>
    </row>
    <row r="86" spans="1:12" ht="12.75" customHeight="1">
      <c r="A86">
        <v>84</v>
      </c>
      <c r="B86" s="77" t="s">
        <v>719</v>
      </c>
      <c r="C86" s="78" t="s">
        <v>720</v>
      </c>
      <c r="D86" s="114" t="s">
        <v>89</v>
      </c>
      <c r="K86" s="114" t="s">
        <v>89</v>
      </c>
      <c r="L86" s="110" t="s">
        <v>89</v>
      </c>
    </row>
    <row r="87" spans="1:12" ht="12.75" customHeight="1">
      <c r="A87">
        <v>85</v>
      </c>
      <c r="B87" s="77" t="s">
        <v>721</v>
      </c>
      <c r="C87" s="78" t="s">
        <v>722</v>
      </c>
      <c r="D87" s="114" t="s">
        <v>89</v>
      </c>
      <c r="E87" s="114" t="s">
        <v>89</v>
      </c>
      <c r="K87" s="114"/>
      <c r="L87" s="110"/>
    </row>
    <row r="88" spans="1:12" ht="12.75" customHeight="1">
      <c r="A88">
        <v>86</v>
      </c>
      <c r="B88" s="79" t="s">
        <v>723</v>
      </c>
      <c r="C88" s="78" t="s">
        <v>724</v>
      </c>
      <c r="K88" s="114" t="s">
        <v>89</v>
      </c>
      <c r="L88" s="110" t="s">
        <v>89</v>
      </c>
    </row>
    <row r="89" spans="1:12" ht="12.75" customHeight="1">
      <c r="A89">
        <v>87</v>
      </c>
      <c r="B89" s="77" t="s">
        <v>725</v>
      </c>
      <c r="C89" s="78" t="s">
        <v>726</v>
      </c>
      <c r="D89" s="114" t="s">
        <v>89</v>
      </c>
      <c r="K89" s="114" t="s">
        <v>89</v>
      </c>
      <c r="L89" s="110" t="s">
        <v>89</v>
      </c>
    </row>
    <row r="90" spans="1:12" ht="12.75" customHeight="1">
      <c r="A90">
        <v>88</v>
      </c>
      <c r="B90" s="77" t="s">
        <v>727</v>
      </c>
      <c r="C90" s="78" t="s">
        <v>728</v>
      </c>
      <c r="K90" s="114" t="s">
        <v>89</v>
      </c>
      <c r="L90" s="110" t="s">
        <v>89</v>
      </c>
    </row>
    <row r="91" spans="1:12" ht="12.75" customHeight="1">
      <c r="A91">
        <v>89</v>
      </c>
      <c r="B91" s="77" t="s">
        <v>729</v>
      </c>
      <c r="C91" s="78" t="s">
        <v>730</v>
      </c>
      <c r="G91" s="114" t="s">
        <v>89</v>
      </c>
      <c r="K91" s="114" t="s">
        <v>89</v>
      </c>
      <c r="L91" s="110" t="s">
        <v>89</v>
      </c>
    </row>
    <row r="92" spans="1:12" ht="12.75" customHeight="1">
      <c r="A92">
        <v>90</v>
      </c>
      <c r="B92" s="79" t="s">
        <v>731</v>
      </c>
      <c r="C92" s="78" t="s">
        <v>732</v>
      </c>
      <c r="E92" s="114" t="s">
        <v>89</v>
      </c>
      <c r="K92" s="114" t="s">
        <v>89</v>
      </c>
      <c r="L92" s="110" t="s">
        <v>89</v>
      </c>
    </row>
    <row r="93" spans="1:12" ht="12.75" customHeight="1">
      <c r="A93">
        <v>91</v>
      </c>
      <c r="B93" s="77" t="s">
        <v>733</v>
      </c>
      <c r="C93" s="78" t="s">
        <v>734</v>
      </c>
      <c r="K93" s="114" t="s">
        <v>89</v>
      </c>
      <c r="L93" s="110" t="s">
        <v>89</v>
      </c>
    </row>
    <row r="94" spans="1:12" ht="12.75" customHeight="1">
      <c r="A94">
        <v>92</v>
      </c>
      <c r="B94" s="77" t="s">
        <v>735</v>
      </c>
      <c r="C94" s="78" t="s">
        <v>736</v>
      </c>
      <c r="E94" s="114" t="s">
        <v>89</v>
      </c>
      <c r="K94" s="114" t="s">
        <v>89</v>
      </c>
      <c r="L94" s="110" t="s">
        <v>89</v>
      </c>
    </row>
    <row r="95" spans="1:12" ht="12.75" customHeight="1">
      <c r="A95">
        <v>93</v>
      </c>
      <c r="B95" s="77" t="s">
        <v>737</v>
      </c>
      <c r="C95" s="78" t="s">
        <v>738</v>
      </c>
      <c r="E95" s="114" t="s">
        <v>89</v>
      </c>
      <c r="K95" s="114" t="s">
        <v>89</v>
      </c>
      <c r="L95" s="110" t="s">
        <v>89</v>
      </c>
    </row>
    <row r="96" spans="1:12" ht="12.75" customHeight="1">
      <c r="A96">
        <v>94</v>
      </c>
      <c r="B96" s="77" t="s">
        <v>739</v>
      </c>
      <c r="C96" s="78" t="s">
        <v>740</v>
      </c>
      <c r="K96" s="114" t="s">
        <v>89</v>
      </c>
      <c r="L96" s="110" t="s">
        <v>89</v>
      </c>
    </row>
    <row r="97" spans="1:12" ht="12.75" customHeight="1">
      <c r="A97">
        <v>95</v>
      </c>
      <c r="B97" s="77" t="s">
        <v>741</v>
      </c>
      <c r="C97" s="78" t="s">
        <v>742</v>
      </c>
      <c r="E97" s="114" t="s">
        <v>89</v>
      </c>
      <c r="K97" s="114" t="s">
        <v>89</v>
      </c>
      <c r="L97" s="110" t="s">
        <v>89</v>
      </c>
    </row>
    <row r="98" spans="1:12" ht="12.75" customHeight="1">
      <c r="A98">
        <v>96</v>
      </c>
      <c r="B98" s="77" t="s">
        <v>743</v>
      </c>
      <c r="C98" s="78" t="s">
        <v>744</v>
      </c>
      <c r="E98" s="114" t="s">
        <v>89</v>
      </c>
      <c r="K98" s="114" t="s">
        <v>89</v>
      </c>
      <c r="L98" s="110" t="s">
        <v>89</v>
      </c>
    </row>
    <row r="99" spans="1:12" ht="12.75" customHeight="1">
      <c r="A99">
        <v>97</v>
      </c>
      <c r="B99" s="77" t="s">
        <v>745</v>
      </c>
      <c r="C99" s="78" t="s">
        <v>746</v>
      </c>
      <c r="E99" s="114" t="s">
        <v>89</v>
      </c>
      <c r="K99" s="114" t="s">
        <v>89</v>
      </c>
      <c r="L99" s="110" t="s">
        <v>89</v>
      </c>
    </row>
    <row r="100" spans="1:12" ht="12.75" customHeight="1">
      <c r="A100">
        <v>98</v>
      </c>
      <c r="B100" s="77" t="s">
        <v>747</v>
      </c>
      <c r="C100" s="78" t="s">
        <v>748</v>
      </c>
      <c r="K100" s="114" t="s">
        <v>89</v>
      </c>
      <c r="L100" s="110" t="s">
        <v>89</v>
      </c>
    </row>
    <row r="101" spans="1:12" ht="12.75" customHeight="1">
      <c r="A101">
        <v>99</v>
      </c>
      <c r="B101" s="77" t="s">
        <v>749</v>
      </c>
      <c r="C101" s="78" t="s">
        <v>750</v>
      </c>
      <c r="G101" s="114" t="s">
        <v>89</v>
      </c>
      <c r="K101" s="114" t="s">
        <v>89</v>
      </c>
      <c r="L101" s="110" t="s">
        <v>89</v>
      </c>
    </row>
    <row r="102" spans="1:12" ht="12.75" customHeight="1">
      <c r="A102">
        <v>100</v>
      </c>
      <c r="B102" s="77" t="s">
        <v>751</v>
      </c>
      <c r="C102" s="78" t="s">
        <v>752</v>
      </c>
      <c r="D102" s="114" t="s">
        <v>89</v>
      </c>
      <c r="E102" s="114" t="s">
        <v>89</v>
      </c>
      <c r="G102" s="114" t="s">
        <v>89</v>
      </c>
      <c r="K102" s="114" t="s">
        <v>89</v>
      </c>
      <c r="L102" s="110" t="s">
        <v>89</v>
      </c>
    </row>
    <row r="103" spans="1:12" ht="12.75" customHeight="1">
      <c r="A103">
        <v>101</v>
      </c>
      <c r="B103" s="77" t="s">
        <v>753</v>
      </c>
      <c r="C103" s="78" t="s">
        <v>754</v>
      </c>
      <c r="D103" s="114" t="s">
        <v>89</v>
      </c>
      <c r="E103" s="114" t="s">
        <v>89</v>
      </c>
      <c r="G103" s="114" t="s">
        <v>89</v>
      </c>
      <c r="K103" s="114" t="s">
        <v>89</v>
      </c>
      <c r="L103" s="110" t="s">
        <v>89</v>
      </c>
    </row>
    <row r="104" spans="1:12" ht="12.75" customHeight="1">
      <c r="A104">
        <v>102</v>
      </c>
      <c r="B104" s="77" t="s">
        <v>755</v>
      </c>
      <c r="C104" s="78" t="s">
        <v>756</v>
      </c>
      <c r="K104" s="114" t="s">
        <v>89</v>
      </c>
      <c r="L104" s="110" t="s">
        <v>89</v>
      </c>
    </row>
    <row r="105" spans="1:12" ht="12.75" customHeight="1">
      <c r="A105">
        <v>103</v>
      </c>
      <c r="B105" s="77" t="s">
        <v>757</v>
      </c>
      <c r="C105" s="78" t="s">
        <v>758</v>
      </c>
      <c r="E105" s="114" t="s">
        <v>89</v>
      </c>
      <c r="G105" s="114" t="s">
        <v>89</v>
      </c>
      <c r="K105" s="114" t="s">
        <v>89</v>
      </c>
      <c r="L105" s="110" t="s">
        <v>89</v>
      </c>
    </row>
    <row r="106" spans="1:12" ht="12.75" customHeight="1">
      <c r="A106">
        <v>104</v>
      </c>
      <c r="B106" s="77" t="s">
        <v>759</v>
      </c>
      <c r="C106" s="78" t="s">
        <v>760</v>
      </c>
      <c r="K106" s="114" t="s">
        <v>89</v>
      </c>
      <c r="L106" s="110" t="s">
        <v>89</v>
      </c>
    </row>
    <row r="107" spans="1:12" ht="12.75" customHeight="1">
      <c r="A107">
        <v>105</v>
      </c>
      <c r="B107" s="77" t="s">
        <v>761</v>
      </c>
      <c r="C107" s="78" t="s">
        <v>762</v>
      </c>
      <c r="D107" s="114" t="s">
        <v>89</v>
      </c>
      <c r="E107" s="114" t="s">
        <v>89</v>
      </c>
      <c r="G107" s="114" t="s">
        <v>89</v>
      </c>
      <c r="K107" s="114" t="s">
        <v>89</v>
      </c>
      <c r="L107" s="110" t="s">
        <v>89</v>
      </c>
    </row>
    <row r="108" spans="1:12" ht="12.75" customHeight="1">
      <c r="A108">
        <v>106</v>
      </c>
      <c r="B108" s="77" t="s">
        <v>763</v>
      </c>
      <c r="C108" s="78" t="s">
        <v>764</v>
      </c>
      <c r="E108" s="114" t="s">
        <v>89</v>
      </c>
      <c r="K108" s="114" t="s">
        <v>89</v>
      </c>
      <c r="L108" s="110" t="s">
        <v>89</v>
      </c>
    </row>
    <row r="109" spans="1:12" ht="12.75" customHeight="1">
      <c r="A109">
        <v>107</v>
      </c>
      <c r="B109" s="77" t="s">
        <v>765</v>
      </c>
      <c r="C109" s="78" t="s">
        <v>766</v>
      </c>
      <c r="K109" s="114" t="s">
        <v>89</v>
      </c>
      <c r="L109" s="110" t="s">
        <v>89</v>
      </c>
    </row>
    <row r="110" spans="1:12" ht="12.75" customHeight="1">
      <c r="A110">
        <v>108</v>
      </c>
      <c r="B110" s="77" t="s">
        <v>767</v>
      </c>
      <c r="C110" s="78" t="s">
        <v>768</v>
      </c>
      <c r="D110" s="114" t="s">
        <v>89</v>
      </c>
      <c r="K110" s="114" t="s">
        <v>89</v>
      </c>
      <c r="L110" s="110" t="s">
        <v>89</v>
      </c>
    </row>
    <row r="111" spans="1:12" ht="12.75" customHeight="1">
      <c r="A111">
        <v>109</v>
      </c>
      <c r="B111" s="77" t="s">
        <v>769</v>
      </c>
      <c r="C111" s="78" t="s">
        <v>770</v>
      </c>
      <c r="D111" s="114" t="s">
        <v>89</v>
      </c>
      <c r="E111" s="114" t="s">
        <v>89</v>
      </c>
      <c r="K111" s="114" t="s">
        <v>89</v>
      </c>
      <c r="L111" s="110" t="s">
        <v>89</v>
      </c>
    </row>
    <row r="112" spans="1:12" ht="12.75" customHeight="1">
      <c r="A112">
        <v>110</v>
      </c>
      <c r="B112" s="77" t="s">
        <v>771</v>
      </c>
      <c r="C112" s="78" t="s">
        <v>772</v>
      </c>
      <c r="K112" s="114" t="s">
        <v>89</v>
      </c>
      <c r="L112" s="110" t="s">
        <v>89</v>
      </c>
    </row>
    <row r="113" spans="1:12" ht="12.75" customHeight="1">
      <c r="A113">
        <v>111</v>
      </c>
      <c r="B113" s="77" t="s">
        <v>773</v>
      </c>
      <c r="C113" s="78" t="s">
        <v>774</v>
      </c>
      <c r="D113" s="114" t="s">
        <v>89</v>
      </c>
      <c r="E113" s="114" t="s">
        <v>89</v>
      </c>
      <c r="K113" s="114" t="s">
        <v>89</v>
      </c>
      <c r="L113" s="110" t="s">
        <v>89</v>
      </c>
    </row>
    <row r="114" spans="1:12" ht="12.75" customHeight="1">
      <c r="A114">
        <v>112</v>
      </c>
      <c r="B114" s="77" t="s">
        <v>775</v>
      </c>
      <c r="C114" s="78" t="s">
        <v>776</v>
      </c>
      <c r="D114" s="114" t="s">
        <v>89</v>
      </c>
      <c r="K114" s="114" t="s">
        <v>89</v>
      </c>
      <c r="L114" s="110" t="s">
        <v>89</v>
      </c>
    </row>
    <row r="115" spans="1:12" ht="12.75" customHeight="1">
      <c r="A115">
        <v>113</v>
      </c>
      <c r="B115" s="77" t="s">
        <v>777</v>
      </c>
      <c r="C115" s="78" t="s">
        <v>778</v>
      </c>
      <c r="K115" s="114" t="s">
        <v>89</v>
      </c>
      <c r="L115" s="110" t="s">
        <v>89</v>
      </c>
    </row>
    <row r="116" spans="1:12" ht="12.75" customHeight="1">
      <c r="A116">
        <v>114</v>
      </c>
      <c r="B116" s="79" t="s">
        <v>779</v>
      </c>
      <c r="C116" s="78" t="s">
        <v>780</v>
      </c>
      <c r="E116" s="114" t="s">
        <v>89</v>
      </c>
      <c r="K116" s="114" t="s">
        <v>89</v>
      </c>
      <c r="L116" s="110" t="s">
        <v>89</v>
      </c>
    </row>
    <row r="117" spans="1:12" ht="12.75" customHeight="1">
      <c r="A117">
        <v>115</v>
      </c>
      <c r="B117" s="77" t="s">
        <v>781</v>
      </c>
      <c r="C117" s="78" t="s">
        <v>782</v>
      </c>
      <c r="G117" s="114" t="s">
        <v>89</v>
      </c>
      <c r="K117" s="114" t="s">
        <v>89</v>
      </c>
      <c r="L117" s="110" t="s">
        <v>89</v>
      </c>
    </row>
    <row r="118" spans="1:12" ht="12.75" customHeight="1">
      <c r="A118">
        <v>116</v>
      </c>
      <c r="B118" s="77" t="s">
        <v>783</v>
      </c>
      <c r="C118" s="78" t="s">
        <v>784</v>
      </c>
      <c r="D118" s="114" t="s">
        <v>89</v>
      </c>
      <c r="E118" s="114" t="s">
        <v>89</v>
      </c>
      <c r="K118" s="114" t="s">
        <v>89</v>
      </c>
      <c r="L118" s="110" t="s">
        <v>89</v>
      </c>
    </row>
    <row r="119" spans="1:12" ht="12.75" customHeight="1">
      <c r="A119">
        <v>117</v>
      </c>
      <c r="B119" s="77" t="s">
        <v>785</v>
      </c>
      <c r="C119" s="78" t="s">
        <v>786</v>
      </c>
      <c r="K119" s="114" t="s">
        <v>89</v>
      </c>
      <c r="L119" s="110" t="s">
        <v>89</v>
      </c>
    </row>
    <row r="120" spans="1:12" ht="12.75" customHeight="1">
      <c r="A120">
        <v>118</v>
      </c>
      <c r="B120" s="77" t="s">
        <v>787</v>
      </c>
      <c r="C120" s="78" t="s">
        <v>788</v>
      </c>
      <c r="K120" s="114" t="s">
        <v>89</v>
      </c>
      <c r="L120" s="110" t="s">
        <v>89</v>
      </c>
    </row>
    <row r="121" spans="1:12" ht="12.75" customHeight="1">
      <c r="A121">
        <v>119</v>
      </c>
      <c r="B121" s="77" t="s">
        <v>789</v>
      </c>
      <c r="C121" s="78" t="s">
        <v>790</v>
      </c>
      <c r="K121" s="114" t="s">
        <v>89</v>
      </c>
      <c r="L121" s="110" t="s">
        <v>89</v>
      </c>
    </row>
    <row r="122" spans="1:12" ht="12.75" customHeight="1">
      <c r="A122">
        <v>120</v>
      </c>
      <c r="B122" s="77" t="s">
        <v>791</v>
      </c>
      <c r="C122" s="78" t="s">
        <v>792</v>
      </c>
      <c r="E122" s="114" t="s">
        <v>89</v>
      </c>
      <c r="G122" s="114" t="s">
        <v>89</v>
      </c>
      <c r="K122" s="114" t="s">
        <v>89</v>
      </c>
      <c r="L122" s="110" t="s">
        <v>89</v>
      </c>
    </row>
    <row r="123" spans="1:12" ht="12.75" customHeight="1">
      <c r="A123">
        <v>121</v>
      </c>
      <c r="B123" s="77" t="s">
        <v>793</v>
      </c>
      <c r="C123" s="78" t="s">
        <v>794</v>
      </c>
      <c r="E123" s="114" t="s">
        <v>89</v>
      </c>
      <c r="K123" s="114" t="s">
        <v>89</v>
      </c>
      <c r="L123" s="110" t="s">
        <v>89</v>
      </c>
    </row>
    <row r="124" spans="1:12" ht="12.75" customHeight="1">
      <c r="A124">
        <v>122</v>
      </c>
      <c r="B124" s="77" t="s">
        <v>795</v>
      </c>
      <c r="C124" s="78" t="s">
        <v>796</v>
      </c>
      <c r="D124" s="114" t="s">
        <v>89</v>
      </c>
      <c r="K124" s="114" t="s">
        <v>89</v>
      </c>
      <c r="L124" s="110" t="s">
        <v>89</v>
      </c>
    </row>
    <row r="125" spans="1:12" ht="12.75" customHeight="1">
      <c r="A125">
        <v>123</v>
      </c>
      <c r="B125" s="77" t="s">
        <v>797</v>
      </c>
      <c r="C125" s="78" t="s">
        <v>798</v>
      </c>
      <c r="D125" s="114" t="s">
        <v>89</v>
      </c>
      <c r="E125" s="114" t="s">
        <v>89</v>
      </c>
      <c r="G125" s="114" t="s">
        <v>89</v>
      </c>
      <c r="K125" s="114" t="s">
        <v>89</v>
      </c>
      <c r="L125" s="110" t="s">
        <v>89</v>
      </c>
    </row>
    <row r="126" spans="1:12" ht="12.75" customHeight="1">
      <c r="A126">
        <v>124</v>
      </c>
      <c r="B126" s="77" t="s">
        <v>799</v>
      </c>
      <c r="C126" s="78" t="s">
        <v>800</v>
      </c>
      <c r="K126" s="114" t="s">
        <v>89</v>
      </c>
      <c r="L126" s="110" t="s">
        <v>89</v>
      </c>
    </row>
    <row r="127" spans="1:12" ht="12.75" customHeight="1">
      <c r="A127">
        <v>125</v>
      </c>
      <c r="B127" s="77" t="s">
        <v>801</v>
      </c>
      <c r="C127" s="78" t="s">
        <v>802</v>
      </c>
      <c r="D127" s="114" t="s">
        <v>89</v>
      </c>
      <c r="K127" s="114" t="s">
        <v>89</v>
      </c>
      <c r="L127" s="110" t="s">
        <v>89</v>
      </c>
    </row>
    <row r="128" spans="1:12" ht="12.75" customHeight="1">
      <c r="A128">
        <v>126</v>
      </c>
      <c r="B128" s="77" t="s">
        <v>803</v>
      </c>
      <c r="C128" s="78" t="s">
        <v>804</v>
      </c>
      <c r="K128" s="114" t="s">
        <v>89</v>
      </c>
      <c r="L128" s="110" t="s">
        <v>89</v>
      </c>
    </row>
    <row r="129" spans="1:12" ht="12.75" customHeight="1">
      <c r="A129">
        <v>127</v>
      </c>
      <c r="B129" s="77" t="s">
        <v>805</v>
      </c>
      <c r="C129" s="78" t="s">
        <v>806</v>
      </c>
      <c r="K129" s="114" t="s">
        <v>89</v>
      </c>
      <c r="L129" s="110" t="s">
        <v>89</v>
      </c>
    </row>
    <row r="130" spans="1:12" ht="12.75" customHeight="1">
      <c r="A130">
        <v>128</v>
      </c>
      <c r="B130" s="77" t="s">
        <v>807</v>
      </c>
      <c r="C130" s="78" t="s">
        <v>808</v>
      </c>
      <c r="E130" s="114" t="s">
        <v>89</v>
      </c>
      <c r="K130" s="114" t="s">
        <v>89</v>
      </c>
      <c r="L130" s="110" t="s">
        <v>89</v>
      </c>
    </row>
    <row r="131" spans="1:12" ht="12.75" customHeight="1">
      <c r="A131">
        <v>129</v>
      </c>
      <c r="B131" s="77" t="s">
        <v>809</v>
      </c>
      <c r="C131" s="78" t="s">
        <v>810</v>
      </c>
      <c r="E131" s="114" t="s">
        <v>89</v>
      </c>
      <c r="K131" s="114" t="s">
        <v>89</v>
      </c>
      <c r="L131" s="110" t="s">
        <v>89</v>
      </c>
    </row>
    <row r="132" spans="1:12" ht="12.75" customHeight="1">
      <c r="A132">
        <v>130</v>
      </c>
      <c r="B132" s="77" t="s">
        <v>811</v>
      </c>
      <c r="C132" s="78" t="s">
        <v>812</v>
      </c>
      <c r="D132" s="114" t="s">
        <v>89</v>
      </c>
      <c r="E132" s="114" t="s">
        <v>89</v>
      </c>
      <c r="K132" s="114" t="s">
        <v>89</v>
      </c>
      <c r="L132" s="110" t="s">
        <v>89</v>
      </c>
    </row>
    <row r="133" spans="1:12" ht="12.75" customHeight="1">
      <c r="A133">
        <v>131</v>
      </c>
      <c r="B133" s="77" t="s">
        <v>813</v>
      </c>
      <c r="C133" s="78" t="s">
        <v>814</v>
      </c>
      <c r="D133" s="114" t="s">
        <v>89</v>
      </c>
      <c r="K133" s="114"/>
      <c r="L133" s="110"/>
    </row>
    <row r="134" spans="1:12" ht="12.75" customHeight="1">
      <c r="A134">
        <v>132</v>
      </c>
      <c r="B134" s="77" t="s">
        <v>815</v>
      </c>
      <c r="C134" s="78" t="s">
        <v>816</v>
      </c>
      <c r="E134" s="114" t="s">
        <v>89</v>
      </c>
      <c r="K134" s="114" t="s">
        <v>89</v>
      </c>
      <c r="L134" s="110" t="s">
        <v>89</v>
      </c>
    </row>
    <row r="135" spans="1:12" ht="12.75" customHeight="1">
      <c r="A135">
        <v>133</v>
      </c>
      <c r="B135" s="77" t="s">
        <v>817</v>
      </c>
      <c r="C135" s="78" t="s">
        <v>818</v>
      </c>
      <c r="D135" s="114" t="s">
        <v>89</v>
      </c>
      <c r="E135" s="114" t="s">
        <v>89</v>
      </c>
      <c r="K135" s="114"/>
      <c r="L135" s="110"/>
    </row>
    <row r="136" spans="1:12" ht="12.75" customHeight="1">
      <c r="A136">
        <v>134</v>
      </c>
      <c r="B136" s="77" t="s">
        <v>819</v>
      </c>
      <c r="C136" s="78" t="s">
        <v>820</v>
      </c>
      <c r="E136" s="114" t="s">
        <v>89</v>
      </c>
      <c r="K136" s="114" t="s">
        <v>89</v>
      </c>
      <c r="L136" s="110" t="s">
        <v>89</v>
      </c>
    </row>
    <row r="137" spans="1:12" ht="12.75" customHeight="1">
      <c r="A137">
        <v>135</v>
      </c>
      <c r="B137" s="77" t="s">
        <v>821</v>
      </c>
      <c r="C137" s="78" t="s">
        <v>822</v>
      </c>
      <c r="G137" s="114" t="s">
        <v>89</v>
      </c>
      <c r="K137" s="114" t="s">
        <v>89</v>
      </c>
      <c r="L137" s="110" t="s">
        <v>89</v>
      </c>
    </row>
    <row r="138" spans="1:12" ht="12.75" customHeight="1">
      <c r="A138">
        <v>136</v>
      </c>
      <c r="B138" s="77" t="s">
        <v>823</v>
      </c>
      <c r="C138" s="78" t="s">
        <v>824</v>
      </c>
      <c r="D138" s="114" t="s">
        <v>89</v>
      </c>
      <c r="K138" s="114" t="s">
        <v>89</v>
      </c>
      <c r="L138" s="110" t="s">
        <v>89</v>
      </c>
    </row>
    <row r="139" spans="1:12" ht="12.75" customHeight="1">
      <c r="A139">
        <v>137</v>
      </c>
      <c r="B139" s="77" t="s">
        <v>825</v>
      </c>
      <c r="C139" s="78" t="s">
        <v>826</v>
      </c>
      <c r="E139" s="114" t="s">
        <v>89</v>
      </c>
      <c r="K139" s="114" t="s">
        <v>89</v>
      </c>
      <c r="L139" s="110" t="s">
        <v>89</v>
      </c>
    </row>
    <row r="140" spans="1:12" ht="12.75" customHeight="1">
      <c r="A140">
        <v>138</v>
      </c>
      <c r="B140" s="79" t="s">
        <v>827</v>
      </c>
      <c r="C140" s="78" t="s">
        <v>828</v>
      </c>
      <c r="E140" s="114" t="s">
        <v>89</v>
      </c>
      <c r="K140" s="114" t="s">
        <v>89</v>
      </c>
      <c r="L140" s="110" t="s">
        <v>89</v>
      </c>
    </row>
    <row r="141" spans="1:12" ht="12.75" customHeight="1">
      <c r="A141">
        <v>139</v>
      </c>
      <c r="B141" s="77" t="s">
        <v>829</v>
      </c>
      <c r="C141" s="78" t="s">
        <v>830</v>
      </c>
      <c r="D141" s="114" t="s">
        <v>89</v>
      </c>
      <c r="E141" s="114" t="s">
        <v>89</v>
      </c>
      <c r="G141" s="114" t="s">
        <v>89</v>
      </c>
      <c r="K141" s="114" t="s">
        <v>89</v>
      </c>
      <c r="L141" s="110" t="s">
        <v>89</v>
      </c>
    </row>
    <row r="142" spans="1:12" ht="12.75" customHeight="1">
      <c r="A142">
        <v>140</v>
      </c>
      <c r="B142" s="79" t="s">
        <v>831</v>
      </c>
      <c r="C142" s="78" t="s">
        <v>832</v>
      </c>
      <c r="K142" s="114" t="s">
        <v>89</v>
      </c>
      <c r="L142" s="110" t="s">
        <v>89</v>
      </c>
    </row>
    <row r="143" spans="1:12" ht="12.75" customHeight="1">
      <c r="A143">
        <v>141</v>
      </c>
      <c r="B143" s="77" t="s">
        <v>833</v>
      </c>
      <c r="C143" s="78" t="s">
        <v>834</v>
      </c>
      <c r="D143" s="114" t="s">
        <v>89</v>
      </c>
      <c r="E143" s="114" t="s">
        <v>89</v>
      </c>
      <c r="G143" s="114" t="s">
        <v>89</v>
      </c>
      <c r="K143" s="114" t="s">
        <v>89</v>
      </c>
      <c r="L143" s="110" t="s">
        <v>89</v>
      </c>
    </row>
    <row r="144" spans="1:12" ht="12.75" customHeight="1">
      <c r="A144">
        <v>142</v>
      </c>
      <c r="B144" s="77" t="s">
        <v>835</v>
      </c>
      <c r="C144" s="78" t="s">
        <v>836</v>
      </c>
      <c r="D144" s="114" t="s">
        <v>89</v>
      </c>
      <c r="K144" s="114"/>
      <c r="L144" s="110"/>
    </row>
    <row r="145" spans="1:12" ht="12.75" customHeight="1">
      <c r="A145">
        <v>143</v>
      </c>
      <c r="B145" s="77" t="s">
        <v>837</v>
      </c>
      <c r="C145" s="78" t="s">
        <v>838</v>
      </c>
      <c r="K145" s="114" t="s">
        <v>89</v>
      </c>
      <c r="L145" s="110" t="s">
        <v>89</v>
      </c>
    </row>
    <row r="146" spans="1:12" ht="12.75" customHeight="1">
      <c r="A146">
        <v>144</v>
      </c>
      <c r="B146" s="79" t="s">
        <v>839</v>
      </c>
      <c r="C146" s="78" t="s">
        <v>840</v>
      </c>
      <c r="E146" s="114" t="s">
        <v>89</v>
      </c>
      <c r="G146" s="114" t="s">
        <v>89</v>
      </c>
      <c r="K146" s="114" t="s">
        <v>89</v>
      </c>
      <c r="L146" s="110" t="s">
        <v>89</v>
      </c>
    </row>
    <row r="147" spans="1:12" ht="12.75" customHeight="1">
      <c r="A147">
        <v>145</v>
      </c>
      <c r="B147" s="137" t="s">
        <v>945</v>
      </c>
      <c r="C147" s="78" t="s">
        <v>946</v>
      </c>
      <c r="G147" s="114" t="s">
        <v>89</v>
      </c>
      <c r="K147" s="114" t="s">
        <v>89</v>
      </c>
      <c r="L147" s="110" t="s">
        <v>89</v>
      </c>
    </row>
    <row r="148" spans="1:12" ht="12.75" customHeight="1">
      <c r="A148">
        <v>146</v>
      </c>
      <c r="B148" s="77" t="s">
        <v>841</v>
      </c>
      <c r="C148" s="78" t="s">
        <v>947</v>
      </c>
      <c r="D148" s="114" t="s">
        <v>89</v>
      </c>
      <c r="E148" s="114" t="s">
        <v>89</v>
      </c>
      <c r="K148" s="114" t="s">
        <v>89</v>
      </c>
      <c r="L148" s="110" t="s">
        <v>89</v>
      </c>
    </row>
    <row r="149" spans="1:12" ht="12.75" customHeight="1">
      <c r="A149">
        <v>147</v>
      </c>
      <c r="B149" s="77" t="s">
        <v>842</v>
      </c>
      <c r="C149" s="78" t="s">
        <v>948</v>
      </c>
      <c r="D149" s="114" t="s">
        <v>89</v>
      </c>
      <c r="E149" s="114" t="s">
        <v>89</v>
      </c>
      <c r="G149" s="114" t="s">
        <v>89</v>
      </c>
      <c r="K149" s="114" t="s">
        <v>89</v>
      </c>
      <c r="L149" s="110" t="s">
        <v>89</v>
      </c>
    </row>
    <row r="150" spans="1:12" ht="12.75" customHeight="1">
      <c r="A150">
        <v>148</v>
      </c>
      <c r="B150" s="136" t="s">
        <v>949</v>
      </c>
      <c r="C150" s="78" t="s">
        <v>951</v>
      </c>
      <c r="G150" s="114" t="s">
        <v>89</v>
      </c>
      <c r="K150" s="114" t="s">
        <v>89</v>
      </c>
      <c r="L150" s="110" t="s">
        <v>89</v>
      </c>
    </row>
    <row r="151" spans="1:12" ht="12.75" customHeight="1">
      <c r="A151">
        <v>149</v>
      </c>
      <c r="B151" s="136" t="s">
        <v>950</v>
      </c>
      <c r="C151" s="78" t="s">
        <v>952</v>
      </c>
      <c r="E151" s="114" t="s">
        <v>89</v>
      </c>
      <c r="K151" s="114" t="s">
        <v>89</v>
      </c>
      <c r="L151" s="110" t="s">
        <v>89</v>
      </c>
    </row>
    <row r="152" spans="1:12" ht="12.75" customHeight="1">
      <c r="A152">
        <v>150</v>
      </c>
      <c r="B152" s="77" t="s">
        <v>843</v>
      </c>
      <c r="C152" s="78" t="s">
        <v>953</v>
      </c>
      <c r="G152" s="114" t="s">
        <v>89</v>
      </c>
      <c r="K152" s="114" t="s">
        <v>89</v>
      </c>
      <c r="L152" s="110" t="s">
        <v>89</v>
      </c>
    </row>
    <row r="153" spans="1:12" ht="12.75" customHeight="1">
      <c r="A153">
        <v>151</v>
      </c>
      <c r="B153" s="77" t="s">
        <v>844</v>
      </c>
      <c r="C153" s="78" t="s">
        <v>954</v>
      </c>
      <c r="D153" s="114" t="s">
        <v>89</v>
      </c>
      <c r="K153" s="114" t="s">
        <v>89</v>
      </c>
      <c r="L153" s="110" t="s">
        <v>89</v>
      </c>
    </row>
    <row r="154" spans="1:12" ht="12.75" customHeight="1">
      <c r="A154">
        <v>152</v>
      </c>
      <c r="B154" s="77" t="s">
        <v>845</v>
      </c>
      <c r="C154" s="78" t="s">
        <v>955</v>
      </c>
      <c r="D154" s="114" t="s">
        <v>89</v>
      </c>
      <c r="E154" s="114" t="s">
        <v>89</v>
      </c>
      <c r="K154" s="114" t="s">
        <v>89</v>
      </c>
      <c r="L154" s="110" t="s">
        <v>89</v>
      </c>
    </row>
    <row r="155" spans="1:12" ht="12.75" customHeight="1">
      <c r="A155">
        <v>153</v>
      </c>
      <c r="B155" s="77" t="s">
        <v>846</v>
      </c>
      <c r="C155" s="78" t="s">
        <v>956</v>
      </c>
      <c r="E155" s="114" t="s">
        <v>89</v>
      </c>
      <c r="K155" s="114" t="s">
        <v>89</v>
      </c>
      <c r="L155" s="110" t="s">
        <v>89</v>
      </c>
    </row>
    <row r="156" spans="1:12" ht="12.75" customHeight="1">
      <c r="A156">
        <v>154</v>
      </c>
      <c r="B156" s="77" t="s">
        <v>847</v>
      </c>
      <c r="C156" s="78" t="s">
        <v>957</v>
      </c>
      <c r="D156" s="114" t="s">
        <v>89</v>
      </c>
      <c r="K156" s="114"/>
      <c r="L156" s="110"/>
    </row>
    <row r="157" spans="1:12" ht="12.75" customHeight="1">
      <c r="A157">
        <v>155</v>
      </c>
      <c r="B157" s="77" t="s">
        <v>848</v>
      </c>
      <c r="C157" s="78" t="s">
        <v>958</v>
      </c>
      <c r="D157" s="114" t="s">
        <v>89</v>
      </c>
      <c r="K157" s="114" t="s">
        <v>89</v>
      </c>
      <c r="L157" s="110" t="s">
        <v>89</v>
      </c>
    </row>
    <row r="158" spans="1:12" ht="12.75" customHeight="1">
      <c r="A158">
        <v>156</v>
      </c>
      <c r="B158" s="77" t="s">
        <v>849</v>
      </c>
      <c r="C158" s="78" t="s">
        <v>959</v>
      </c>
      <c r="D158" s="114" t="s">
        <v>89</v>
      </c>
      <c r="E158" s="114" t="s">
        <v>89</v>
      </c>
      <c r="G158" s="114" t="s">
        <v>89</v>
      </c>
      <c r="K158" s="114" t="s">
        <v>89</v>
      </c>
      <c r="L158" s="110" t="s">
        <v>89</v>
      </c>
    </row>
    <row r="159" spans="1:12" ht="12.75" customHeight="1">
      <c r="A159">
        <v>157</v>
      </c>
      <c r="B159" s="77" t="s">
        <v>850</v>
      </c>
      <c r="C159" s="78" t="s">
        <v>960</v>
      </c>
      <c r="D159" s="114" t="s">
        <v>89</v>
      </c>
      <c r="G159" s="114" t="s">
        <v>89</v>
      </c>
      <c r="K159" s="114" t="s">
        <v>89</v>
      </c>
      <c r="L159" s="110" t="s">
        <v>89</v>
      </c>
    </row>
    <row r="160" spans="1:12" ht="12.75" customHeight="1">
      <c r="A160">
        <v>158</v>
      </c>
      <c r="B160" s="77" t="s">
        <v>851</v>
      </c>
      <c r="C160" s="78" t="s">
        <v>961</v>
      </c>
      <c r="D160" s="114" t="s">
        <v>89</v>
      </c>
      <c r="K160" s="114"/>
      <c r="L160" s="110"/>
    </row>
    <row r="161" spans="1:12" ht="12.75" customHeight="1">
      <c r="A161">
        <v>159</v>
      </c>
      <c r="B161" s="77" t="s">
        <v>852</v>
      </c>
      <c r="C161" s="78" t="s">
        <v>962</v>
      </c>
      <c r="K161" s="114" t="s">
        <v>89</v>
      </c>
      <c r="L161" s="110" t="s">
        <v>89</v>
      </c>
    </row>
    <row r="162" spans="1:12" ht="12.75" customHeight="1">
      <c r="A162">
        <v>160</v>
      </c>
      <c r="B162" s="77" t="s">
        <v>853</v>
      </c>
      <c r="C162" s="78" t="s">
        <v>963</v>
      </c>
      <c r="D162" s="114" t="s">
        <v>89</v>
      </c>
      <c r="E162" s="114" t="s">
        <v>89</v>
      </c>
      <c r="K162" s="114" t="s">
        <v>89</v>
      </c>
      <c r="L162" s="110" t="s">
        <v>89</v>
      </c>
    </row>
    <row r="163" spans="1:12" ht="12.75" customHeight="1">
      <c r="A163">
        <v>161</v>
      </c>
      <c r="B163" s="77" t="s">
        <v>854</v>
      </c>
      <c r="C163" s="78" t="s">
        <v>964</v>
      </c>
      <c r="D163" s="114" t="s">
        <v>89</v>
      </c>
      <c r="K163" s="114" t="s">
        <v>89</v>
      </c>
      <c r="L163" s="110" t="s">
        <v>89</v>
      </c>
    </row>
    <row r="164" spans="1:12" ht="12.75" customHeight="1">
      <c r="A164">
        <v>162</v>
      </c>
      <c r="B164" s="79" t="s">
        <v>855</v>
      </c>
      <c r="C164" s="78" t="s">
        <v>965</v>
      </c>
      <c r="K164" s="114" t="s">
        <v>89</v>
      </c>
      <c r="L164" s="110" t="s">
        <v>89</v>
      </c>
    </row>
    <row r="165" spans="1:12" ht="12.75" customHeight="1">
      <c r="A165">
        <v>163</v>
      </c>
      <c r="B165" s="137" t="s">
        <v>966</v>
      </c>
      <c r="C165" s="78" t="s">
        <v>967</v>
      </c>
      <c r="D165" s="114" t="s">
        <v>89</v>
      </c>
      <c r="E165" s="114" t="s">
        <v>89</v>
      </c>
      <c r="G165" s="114" t="s">
        <v>89</v>
      </c>
      <c r="K165" s="114" t="s">
        <v>89</v>
      </c>
      <c r="L165" s="110" t="s">
        <v>89</v>
      </c>
    </row>
    <row r="166" spans="1:12" ht="12.75" customHeight="1">
      <c r="A166">
        <v>164</v>
      </c>
      <c r="B166" s="77" t="s">
        <v>856</v>
      </c>
      <c r="C166" s="78" t="s">
        <v>968</v>
      </c>
      <c r="D166" s="114" t="s">
        <v>89</v>
      </c>
      <c r="E166" s="114" t="s">
        <v>89</v>
      </c>
      <c r="G166" s="114" t="s">
        <v>89</v>
      </c>
      <c r="K166" s="114" t="s">
        <v>89</v>
      </c>
      <c r="L166" s="110" t="s">
        <v>89</v>
      </c>
    </row>
    <row r="167" spans="1:12" ht="12.75" customHeight="1">
      <c r="A167">
        <v>165</v>
      </c>
      <c r="B167" s="77" t="s">
        <v>857</v>
      </c>
      <c r="C167" s="78" t="s">
        <v>969</v>
      </c>
      <c r="K167" s="114" t="s">
        <v>89</v>
      </c>
      <c r="L167" s="110" t="s">
        <v>89</v>
      </c>
    </row>
    <row r="168" spans="1:12" ht="12.75" customHeight="1">
      <c r="A168">
        <v>166</v>
      </c>
      <c r="B168" s="77" t="s">
        <v>858</v>
      </c>
      <c r="C168" s="78" t="s">
        <v>970</v>
      </c>
      <c r="E168" s="114" t="s">
        <v>89</v>
      </c>
      <c r="G168" s="114" t="s">
        <v>89</v>
      </c>
      <c r="K168" s="114" t="s">
        <v>89</v>
      </c>
      <c r="L168" s="110" t="s">
        <v>89</v>
      </c>
    </row>
    <row r="169" spans="1:12" ht="12.75" customHeight="1">
      <c r="A169">
        <v>167</v>
      </c>
      <c r="B169" s="77" t="s">
        <v>859</v>
      </c>
      <c r="C169" s="78" t="s">
        <v>971</v>
      </c>
      <c r="G169" s="114" t="s">
        <v>89</v>
      </c>
      <c r="K169" s="114" t="s">
        <v>89</v>
      </c>
      <c r="L169" s="110" t="s">
        <v>89</v>
      </c>
    </row>
    <row r="170" spans="1:12" ht="12.75" customHeight="1">
      <c r="A170">
        <v>168</v>
      </c>
      <c r="B170" s="136" t="s">
        <v>972</v>
      </c>
      <c r="C170" s="78" t="s">
        <v>974</v>
      </c>
      <c r="G170" s="114" t="s">
        <v>89</v>
      </c>
      <c r="K170" s="114" t="s">
        <v>89</v>
      </c>
      <c r="L170" s="110" t="s">
        <v>89</v>
      </c>
    </row>
    <row r="171" spans="1:12" ht="12.75" customHeight="1">
      <c r="A171">
        <v>269</v>
      </c>
      <c r="B171" s="136" t="s">
        <v>973</v>
      </c>
      <c r="C171" s="78" t="s">
        <v>975</v>
      </c>
      <c r="E171" s="114" t="s">
        <v>89</v>
      </c>
      <c r="G171" s="114" t="s">
        <v>89</v>
      </c>
      <c r="K171" s="114" t="s">
        <v>89</v>
      </c>
      <c r="L171" s="110" t="s">
        <v>89</v>
      </c>
    </row>
    <row r="172" spans="1:12" ht="12.75" customHeight="1">
      <c r="A172">
        <v>170</v>
      </c>
      <c r="B172" s="77" t="s">
        <v>860</v>
      </c>
      <c r="C172" s="78" t="s">
        <v>976</v>
      </c>
      <c r="K172" s="114" t="s">
        <v>89</v>
      </c>
      <c r="L172" s="110" t="s">
        <v>89</v>
      </c>
    </row>
    <row r="173" spans="1:12" ht="12.75" customHeight="1">
      <c r="A173">
        <v>171</v>
      </c>
      <c r="B173" s="77" t="s">
        <v>861</v>
      </c>
      <c r="C173" s="78" t="s">
        <v>977</v>
      </c>
      <c r="D173" s="114" t="s">
        <v>89</v>
      </c>
      <c r="E173" s="114" t="s">
        <v>89</v>
      </c>
      <c r="G173" s="114" t="s">
        <v>89</v>
      </c>
      <c r="K173" s="114" t="s">
        <v>89</v>
      </c>
      <c r="L173" s="110" t="s">
        <v>89</v>
      </c>
    </row>
    <row r="174" spans="1:12" ht="12.75" customHeight="1">
      <c r="A174">
        <v>172</v>
      </c>
      <c r="B174" s="77" t="s">
        <v>862</v>
      </c>
      <c r="C174" s="78" t="s">
        <v>978</v>
      </c>
      <c r="D174" s="114" t="s">
        <v>89</v>
      </c>
      <c r="E174" s="114" t="s">
        <v>89</v>
      </c>
      <c r="K174" s="114" t="s">
        <v>89</v>
      </c>
      <c r="L174" s="110" t="s">
        <v>89</v>
      </c>
    </row>
    <row r="175" spans="1:12" ht="12.75" customHeight="1">
      <c r="A175">
        <v>173</v>
      </c>
      <c r="B175" s="77" t="s">
        <v>863</v>
      </c>
      <c r="C175" s="78" t="s">
        <v>979</v>
      </c>
      <c r="K175" s="114" t="s">
        <v>89</v>
      </c>
      <c r="L175" s="110" t="s">
        <v>89</v>
      </c>
    </row>
    <row r="176" spans="1:12" ht="12.75" customHeight="1">
      <c r="A176">
        <v>174</v>
      </c>
      <c r="B176" s="77" t="s">
        <v>864</v>
      </c>
      <c r="C176" s="78" t="s">
        <v>980</v>
      </c>
      <c r="E176" s="114" t="s">
        <v>89</v>
      </c>
      <c r="K176" s="114" t="s">
        <v>89</v>
      </c>
      <c r="L176" s="110" t="s">
        <v>89</v>
      </c>
    </row>
    <row r="177" spans="1:12" ht="12.75" customHeight="1">
      <c r="A177">
        <v>175</v>
      </c>
      <c r="B177" s="77" t="s">
        <v>865</v>
      </c>
      <c r="C177" s="78" t="s">
        <v>981</v>
      </c>
      <c r="E177" s="114" t="s">
        <v>89</v>
      </c>
      <c r="K177" s="114" t="s">
        <v>89</v>
      </c>
      <c r="L177" s="110" t="s">
        <v>89</v>
      </c>
    </row>
    <row r="178" spans="1:12" ht="12.75" customHeight="1">
      <c r="A178">
        <v>176</v>
      </c>
      <c r="B178" s="77" t="s">
        <v>866</v>
      </c>
      <c r="C178" s="78" t="s">
        <v>982</v>
      </c>
      <c r="D178" s="114" t="s">
        <v>89</v>
      </c>
      <c r="E178" s="114" t="s">
        <v>89</v>
      </c>
      <c r="G178" s="114" t="s">
        <v>89</v>
      </c>
      <c r="K178" s="114" t="s">
        <v>89</v>
      </c>
      <c r="L178" s="110" t="s">
        <v>89</v>
      </c>
    </row>
    <row r="179" spans="1:12" ht="12.75" customHeight="1">
      <c r="A179">
        <v>177</v>
      </c>
      <c r="B179" s="77" t="s">
        <v>867</v>
      </c>
      <c r="C179" s="78" t="s">
        <v>983</v>
      </c>
      <c r="K179" s="114" t="s">
        <v>89</v>
      </c>
      <c r="L179" s="110" t="s">
        <v>89</v>
      </c>
    </row>
    <row r="180" spans="1:12" ht="12.75" customHeight="1">
      <c r="A180">
        <v>178</v>
      </c>
      <c r="B180" s="77" t="s">
        <v>868</v>
      </c>
      <c r="C180" s="78" t="s">
        <v>984</v>
      </c>
      <c r="D180" s="114" t="s">
        <v>89</v>
      </c>
      <c r="K180" s="114"/>
      <c r="L180" s="110"/>
    </row>
    <row r="181" spans="1:12" ht="12.75" customHeight="1">
      <c r="A181">
        <v>179</v>
      </c>
      <c r="B181" s="77" t="s">
        <v>869</v>
      </c>
      <c r="C181" s="78" t="s">
        <v>985</v>
      </c>
      <c r="D181" s="114" t="s">
        <v>89</v>
      </c>
      <c r="E181" s="114" t="s">
        <v>89</v>
      </c>
      <c r="K181" s="114"/>
      <c r="L181" s="110"/>
    </row>
    <row r="182" spans="1:12" ht="12.75" customHeight="1">
      <c r="A182">
        <v>180</v>
      </c>
      <c r="B182" s="77" t="s">
        <v>870</v>
      </c>
      <c r="C182" s="78" t="s">
        <v>986</v>
      </c>
      <c r="E182" s="114" t="s">
        <v>89</v>
      </c>
      <c r="K182" s="114" t="s">
        <v>89</v>
      </c>
      <c r="L182" s="110" t="s">
        <v>89</v>
      </c>
    </row>
    <row r="183" spans="1:12" ht="12.75" customHeight="1">
      <c r="A183">
        <v>181</v>
      </c>
      <c r="B183" s="79" t="s">
        <v>871</v>
      </c>
      <c r="C183" s="78" t="s">
        <v>987</v>
      </c>
      <c r="E183" s="114" t="s">
        <v>89</v>
      </c>
      <c r="K183" s="114" t="s">
        <v>89</v>
      </c>
      <c r="L183" s="110" t="s">
        <v>89</v>
      </c>
    </row>
    <row r="184" spans="1:12" ht="12.75" customHeight="1">
      <c r="A184">
        <v>182</v>
      </c>
      <c r="B184" s="77" t="s">
        <v>872</v>
      </c>
      <c r="C184" s="78" t="s">
        <v>988</v>
      </c>
      <c r="K184" s="114" t="s">
        <v>89</v>
      </c>
      <c r="L184" s="110" t="s">
        <v>89</v>
      </c>
    </row>
    <row r="185" spans="1:12" ht="12.75" customHeight="1">
      <c r="A185">
        <v>183</v>
      </c>
      <c r="B185" s="79" t="s">
        <v>873</v>
      </c>
      <c r="C185" s="78" t="s">
        <v>989</v>
      </c>
      <c r="D185" s="114" t="s">
        <v>89</v>
      </c>
      <c r="E185" s="114" t="s">
        <v>89</v>
      </c>
      <c r="G185" s="114" t="s">
        <v>89</v>
      </c>
      <c r="K185" s="114" t="s">
        <v>89</v>
      </c>
      <c r="L185" s="110" t="s">
        <v>89</v>
      </c>
    </row>
    <row r="186" spans="1:12" ht="12.75" customHeight="1">
      <c r="A186">
        <v>184</v>
      </c>
      <c r="B186" s="77" t="s">
        <v>874</v>
      </c>
      <c r="C186" s="78" t="s">
        <v>990</v>
      </c>
      <c r="K186" s="114" t="s">
        <v>89</v>
      </c>
      <c r="L186" s="110" t="s">
        <v>89</v>
      </c>
    </row>
    <row r="187" spans="1:12" ht="12.75" customHeight="1">
      <c r="A187">
        <v>185</v>
      </c>
      <c r="B187" s="79" t="s">
        <v>875</v>
      </c>
      <c r="C187" s="78" t="s">
        <v>991</v>
      </c>
      <c r="K187" s="114" t="s">
        <v>89</v>
      </c>
      <c r="L187" s="110" t="s">
        <v>89</v>
      </c>
    </row>
    <row r="188" spans="1:12" ht="12.75" customHeight="1">
      <c r="A188">
        <v>186</v>
      </c>
      <c r="B188" s="77" t="s">
        <v>876</v>
      </c>
      <c r="C188" s="78" t="s">
        <v>992</v>
      </c>
      <c r="D188" s="114" t="s">
        <v>89</v>
      </c>
      <c r="K188" s="114"/>
      <c r="L188" s="110"/>
    </row>
    <row r="189" spans="1:12" ht="12.75" customHeight="1">
      <c r="A189">
        <v>187</v>
      </c>
      <c r="B189" s="77" t="s">
        <v>877</v>
      </c>
      <c r="C189" s="78" t="s">
        <v>993</v>
      </c>
      <c r="D189" s="114" t="s">
        <v>89</v>
      </c>
      <c r="K189" s="114"/>
      <c r="L189" s="110"/>
    </row>
    <row r="190" spans="1:12" ht="12.75" customHeight="1">
      <c r="A190">
        <v>188</v>
      </c>
      <c r="B190" s="79" t="s">
        <v>878</v>
      </c>
      <c r="C190" s="78" t="s">
        <v>994</v>
      </c>
      <c r="D190" s="114" t="s">
        <v>89</v>
      </c>
      <c r="K190" s="114"/>
      <c r="L190" s="110"/>
    </row>
    <row r="191" spans="1:12" ht="12.75" customHeight="1">
      <c r="A191">
        <v>189</v>
      </c>
      <c r="B191" s="77" t="s">
        <v>879</v>
      </c>
      <c r="C191" s="78" t="s">
        <v>995</v>
      </c>
      <c r="D191" s="114" t="s">
        <v>89</v>
      </c>
      <c r="E191" s="114" t="s">
        <v>89</v>
      </c>
      <c r="G191" s="114" t="s">
        <v>89</v>
      </c>
      <c r="K191" s="114" t="s">
        <v>89</v>
      </c>
      <c r="L191" s="110" t="s">
        <v>89</v>
      </c>
    </row>
    <row r="192" spans="1:12" ht="12.75" customHeight="1">
      <c r="A192">
        <v>190</v>
      </c>
      <c r="B192" s="77" t="s">
        <v>880</v>
      </c>
      <c r="C192" s="78" t="s">
        <v>996</v>
      </c>
      <c r="D192" s="114" t="s">
        <v>89</v>
      </c>
      <c r="E192" s="114" t="s">
        <v>89</v>
      </c>
      <c r="K192" s="114" t="s">
        <v>89</v>
      </c>
      <c r="L192" s="110" t="s">
        <v>89</v>
      </c>
    </row>
    <row r="193" spans="1:12" ht="12.75" customHeight="1">
      <c r="A193">
        <v>191</v>
      </c>
      <c r="B193" s="77" t="s">
        <v>881</v>
      </c>
      <c r="C193" s="78" t="s">
        <v>997</v>
      </c>
      <c r="K193" s="114" t="s">
        <v>89</v>
      </c>
      <c r="L193" s="110" t="s">
        <v>89</v>
      </c>
    </row>
    <row r="194" spans="1:12" ht="12.75" customHeight="1">
      <c r="A194">
        <v>192</v>
      </c>
      <c r="B194" s="77" t="s">
        <v>882</v>
      </c>
      <c r="C194" s="78" t="s">
        <v>998</v>
      </c>
      <c r="E194" s="114" t="s">
        <v>89</v>
      </c>
      <c r="G194" s="114" t="s">
        <v>89</v>
      </c>
      <c r="K194" s="114" t="s">
        <v>89</v>
      </c>
      <c r="L194" s="110" t="s">
        <v>89</v>
      </c>
    </row>
    <row r="195" spans="1:12" ht="12.75" customHeight="1">
      <c r="A195">
        <v>193</v>
      </c>
      <c r="B195" s="136" t="s">
        <v>999</v>
      </c>
      <c r="C195" s="78" t="s">
        <v>1000</v>
      </c>
      <c r="G195" s="114" t="s">
        <v>89</v>
      </c>
      <c r="K195" s="114" t="s">
        <v>89</v>
      </c>
      <c r="L195" s="110" t="s">
        <v>89</v>
      </c>
    </row>
    <row r="196" spans="1:12" ht="12.75" customHeight="1">
      <c r="A196">
        <v>194</v>
      </c>
      <c r="B196" s="79" t="s">
        <v>883</v>
      </c>
      <c r="C196" s="78" t="s">
        <v>1001</v>
      </c>
      <c r="G196" s="114" t="s">
        <v>89</v>
      </c>
      <c r="K196" s="114" t="s">
        <v>89</v>
      </c>
      <c r="L196" s="110" t="s">
        <v>89</v>
      </c>
    </row>
    <row r="197" spans="1:12" ht="12.75" customHeight="1">
      <c r="A197">
        <v>195</v>
      </c>
      <c r="B197" s="137" t="s">
        <v>1002</v>
      </c>
      <c r="C197" s="78" t="s">
        <v>1003</v>
      </c>
      <c r="D197" s="114" t="s">
        <v>89</v>
      </c>
      <c r="K197" s="114" t="s">
        <v>89</v>
      </c>
      <c r="L197" s="110" t="s">
        <v>89</v>
      </c>
    </row>
    <row r="198" spans="1:12" ht="12.75" customHeight="1">
      <c r="A198">
        <v>196</v>
      </c>
      <c r="B198" s="77" t="s">
        <v>884</v>
      </c>
      <c r="C198" s="78" t="s">
        <v>1004</v>
      </c>
      <c r="D198" s="114" t="s">
        <v>89</v>
      </c>
      <c r="E198" s="114" t="s">
        <v>89</v>
      </c>
      <c r="G198" s="114" t="s">
        <v>89</v>
      </c>
      <c r="K198" s="114" t="s">
        <v>89</v>
      </c>
      <c r="L198" s="110" t="s">
        <v>89</v>
      </c>
    </row>
    <row r="199" spans="1:12" ht="12.75" customHeight="1">
      <c r="A199">
        <v>197</v>
      </c>
      <c r="B199" s="77" t="s">
        <v>885</v>
      </c>
      <c r="C199" s="78" t="s">
        <v>1005</v>
      </c>
      <c r="D199" s="114" t="s">
        <v>89</v>
      </c>
      <c r="E199" s="114" t="s">
        <v>89</v>
      </c>
      <c r="G199" s="114" t="s">
        <v>89</v>
      </c>
      <c r="K199" s="114" t="s">
        <v>89</v>
      </c>
      <c r="L199" s="110" t="s">
        <v>89</v>
      </c>
    </row>
    <row r="200" spans="1:12" ht="12.75" customHeight="1">
      <c r="A200">
        <v>198</v>
      </c>
      <c r="B200" s="77" t="s">
        <v>886</v>
      </c>
      <c r="C200" s="78" t="s">
        <v>1006</v>
      </c>
      <c r="D200" s="114" t="s">
        <v>89</v>
      </c>
      <c r="E200" s="114" t="s">
        <v>89</v>
      </c>
      <c r="G200" s="114" t="s">
        <v>89</v>
      </c>
      <c r="K200" s="114" t="s">
        <v>89</v>
      </c>
      <c r="L200" s="110" t="s">
        <v>89</v>
      </c>
    </row>
    <row r="201" spans="1:12" ht="12.75" customHeight="1">
      <c r="A201">
        <v>199</v>
      </c>
      <c r="B201" s="79" t="s">
        <v>887</v>
      </c>
      <c r="C201" s="78" t="s">
        <v>1007</v>
      </c>
      <c r="G201" s="114" t="s">
        <v>89</v>
      </c>
      <c r="K201" s="114" t="s">
        <v>89</v>
      </c>
      <c r="L201" s="110" t="s">
        <v>89</v>
      </c>
    </row>
    <row r="202" spans="1:12" ht="12.75" customHeight="1">
      <c r="A202">
        <v>200</v>
      </c>
      <c r="B202" s="77" t="s">
        <v>888</v>
      </c>
      <c r="C202" s="78" t="s">
        <v>1008</v>
      </c>
      <c r="G202" s="114" t="s">
        <v>89</v>
      </c>
      <c r="K202" s="114" t="s">
        <v>89</v>
      </c>
      <c r="L202" s="110" t="s">
        <v>89</v>
      </c>
    </row>
    <row r="203" spans="1:12" ht="12.75" customHeight="1">
      <c r="A203">
        <v>201</v>
      </c>
      <c r="B203" s="79" t="s">
        <v>889</v>
      </c>
      <c r="C203" s="78" t="s">
        <v>1009</v>
      </c>
      <c r="K203" s="114" t="s">
        <v>89</v>
      </c>
      <c r="L203" s="110" t="s">
        <v>89</v>
      </c>
    </row>
    <row r="204" spans="1:12" ht="12.75" customHeight="1">
      <c r="A204">
        <v>202</v>
      </c>
      <c r="B204" s="137" t="s">
        <v>1010</v>
      </c>
      <c r="C204" s="78" t="s">
        <v>1011</v>
      </c>
      <c r="E204" s="114" t="s">
        <v>89</v>
      </c>
      <c r="G204" s="114" t="s">
        <v>89</v>
      </c>
      <c r="K204" s="114" t="s">
        <v>89</v>
      </c>
      <c r="L204" s="110" t="s">
        <v>89</v>
      </c>
    </row>
    <row r="205" spans="1:12" ht="12.75" customHeight="1">
      <c r="A205">
        <v>203</v>
      </c>
      <c r="B205" s="77" t="s">
        <v>890</v>
      </c>
      <c r="C205" s="78" t="s">
        <v>1012</v>
      </c>
      <c r="E205" s="114" t="s">
        <v>89</v>
      </c>
      <c r="K205" s="114" t="s">
        <v>89</v>
      </c>
      <c r="L205" s="110" t="s">
        <v>89</v>
      </c>
    </row>
    <row r="206" spans="1:12" ht="12.75" customHeight="1">
      <c r="A206">
        <v>204</v>
      </c>
      <c r="B206" s="77" t="s">
        <v>891</v>
      </c>
      <c r="C206" s="78" t="s">
        <v>1013</v>
      </c>
      <c r="G206" s="114" t="s">
        <v>89</v>
      </c>
      <c r="K206" s="114" t="s">
        <v>89</v>
      </c>
      <c r="L206" s="110" t="s">
        <v>89</v>
      </c>
    </row>
    <row r="207" spans="1:12" ht="12.75" customHeight="1">
      <c r="A207">
        <v>205</v>
      </c>
      <c r="B207" s="77" t="s">
        <v>892</v>
      </c>
      <c r="C207" s="78" t="s">
        <v>1014</v>
      </c>
      <c r="D207" s="114" t="s">
        <v>89</v>
      </c>
      <c r="K207" s="114"/>
      <c r="L207" s="110"/>
    </row>
    <row r="208" spans="1:12" ht="12.75" customHeight="1">
      <c r="A208">
        <v>206</v>
      </c>
      <c r="B208" s="77" t="s">
        <v>893</v>
      </c>
      <c r="C208" s="78" t="s">
        <v>1015</v>
      </c>
      <c r="D208" s="114" t="s">
        <v>89</v>
      </c>
      <c r="E208" s="114" t="s">
        <v>89</v>
      </c>
      <c r="K208" s="114" t="s">
        <v>89</v>
      </c>
      <c r="L208" s="110" t="s">
        <v>89</v>
      </c>
    </row>
    <row r="209" spans="1:12" ht="12.75" customHeight="1">
      <c r="A209">
        <v>207</v>
      </c>
      <c r="B209" s="77" t="s">
        <v>894</v>
      </c>
      <c r="C209" s="78" t="s">
        <v>1016</v>
      </c>
      <c r="D209" s="114" t="s">
        <v>89</v>
      </c>
      <c r="E209" s="114" t="s">
        <v>89</v>
      </c>
      <c r="G209" s="114" t="s">
        <v>89</v>
      </c>
      <c r="K209" s="114" t="s">
        <v>89</v>
      </c>
      <c r="L209" s="110" t="s">
        <v>89</v>
      </c>
    </row>
    <row r="210" spans="1:12" ht="12.75" customHeight="1">
      <c r="A210">
        <v>208</v>
      </c>
      <c r="B210" s="77" t="s">
        <v>895</v>
      </c>
      <c r="C210" s="78" t="s">
        <v>1017</v>
      </c>
      <c r="E210" s="114" t="s">
        <v>89</v>
      </c>
      <c r="G210" s="114" t="s">
        <v>89</v>
      </c>
      <c r="K210" s="114" t="s">
        <v>89</v>
      </c>
      <c r="L210" s="110" t="s">
        <v>89</v>
      </c>
    </row>
    <row r="211" spans="1:12" ht="12.75" customHeight="1">
      <c r="A211">
        <v>209</v>
      </c>
      <c r="B211" s="136" t="s">
        <v>1020</v>
      </c>
      <c r="C211" s="78" t="s">
        <v>1018</v>
      </c>
      <c r="E211" s="114" t="s">
        <v>89</v>
      </c>
      <c r="G211" s="114" t="s">
        <v>89</v>
      </c>
      <c r="K211" s="114" t="s">
        <v>89</v>
      </c>
      <c r="L211" s="110" t="s">
        <v>89</v>
      </c>
    </row>
    <row r="212" spans="1:12" ht="12.75" customHeight="1">
      <c r="A212">
        <v>210</v>
      </c>
      <c r="B212" s="77" t="s">
        <v>896</v>
      </c>
      <c r="C212" s="78" t="s">
        <v>1019</v>
      </c>
      <c r="K212" s="114" t="s">
        <v>89</v>
      </c>
      <c r="L212" s="110" t="s">
        <v>89</v>
      </c>
    </row>
    <row r="213" spans="1:12" ht="12.75" customHeight="1">
      <c r="A213">
        <v>211</v>
      </c>
      <c r="B213" s="79" t="s">
        <v>897</v>
      </c>
      <c r="C213" s="78" t="s">
        <v>1021</v>
      </c>
      <c r="E213" s="114" t="s">
        <v>89</v>
      </c>
      <c r="K213" s="114" t="s">
        <v>89</v>
      </c>
      <c r="L213" s="110" t="s">
        <v>89</v>
      </c>
    </row>
    <row r="214" spans="1:12" ht="12.75" customHeight="1">
      <c r="A214">
        <v>212</v>
      </c>
      <c r="B214" s="137" t="s">
        <v>1022</v>
      </c>
      <c r="C214" s="78" t="s">
        <v>1023</v>
      </c>
      <c r="G214" s="114" t="s">
        <v>89</v>
      </c>
      <c r="K214" s="114" t="s">
        <v>89</v>
      </c>
      <c r="L214" s="110" t="s">
        <v>89</v>
      </c>
    </row>
    <row r="215" spans="1:12" ht="12.75" customHeight="1">
      <c r="A215">
        <v>213</v>
      </c>
      <c r="B215" s="77" t="s">
        <v>898</v>
      </c>
      <c r="C215" s="78" t="s">
        <v>1024</v>
      </c>
      <c r="D215" s="114" t="s">
        <v>89</v>
      </c>
      <c r="E215" s="114" t="s">
        <v>89</v>
      </c>
      <c r="K215" s="114" t="s">
        <v>89</v>
      </c>
      <c r="L215" s="110" t="s">
        <v>89</v>
      </c>
    </row>
    <row r="216" spans="1:12" ht="12.75" customHeight="1">
      <c r="A216">
        <v>214</v>
      </c>
      <c r="B216" s="77" t="s">
        <v>899</v>
      </c>
      <c r="C216" s="78" t="s">
        <v>1025</v>
      </c>
      <c r="E216" s="114" t="s">
        <v>89</v>
      </c>
      <c r="G216" s="114" t="s">
        <v>89</v>
      </c>
      <c r="K216" s="114" t="s">
        <v>89</v>
      </c>
      <c r="L216" s="110" t="s">
        <v>89</v>
      </c>
    </row>
    <row r="217" spans="1:12" ht="12.75" customHeight="1">
      <c r="A217">
        <v>215</v>
      </c>
      <c r="B217" s="136" t="s">
        <v>1026</v>
      </c>
      <c r="C217" s="78" t="s">
        <v>1027</v>
      </c>
      <c r="E217" s="114" t="s">
        <v>89</v>
      </c>
      <c r="G217" s="114" t="s">
        <v>89</v>
      </c>
      <c r="K217" s="114" t="s">
        <v>89</v>
      </c>
      <c r="L217" s="110" t="s">
        <v>89</v>
      </c>
    </row>
    <row r="218" spans="1:12" ht="12.75" customHeight="1">
      <c r="A218">
        <v>216</v>
      </c>
      <c r="B218" s="77" t="s">
        <v>900</v>
      </c>
      <c r="C218" s="78" t="s">
        <v>1028</v>
      </c>
      <c r="E218" s="114" t="s">
        <v>89</v>
      </c>
      <c r="K218" s="114" t="s">
        <v>89</v>
      </c>
      <c r="L218" s="110" t="s">
        <v>89</v>
      </c>
    </row>
    <row r="219" spans="1:12" ht="12.75" customHeight="1">
      <c r="A219">
        <v>217</v>
      </c>
      <c r="B219" s="77" t="s">
        <v>901</v>
      </c>
      <c r="C219" s="78" t="s">
        <v>1029</v>
      </c>
      <c r="E219" s="114" t="s">
        <v>89</v>
      </c>
      <c r="K219" s="114" t="s">
        <v>89</v>
      </c>
      <c r="L219" s="110" t="s">
        <v>89</v>
      </c>
    </row>
    <row r="220" spans="1:12" ht="12.75" customHeight="1">
      <c r="A220">
        <v>218</v>
      </c>
      <c r="B220" s="77" t="s">
        <v>902</v>
      </c>
      <c r="C220" s="78" t="s">
        <v>1030</v>
      </c>
      <c r="G220" s="114" t="s">
        <v>89</v>
      </c>
      <c r="K220" s="114" t="s">
        <v>89</v>
      </c>
      <c r="L220" s="110" t="s">
        <v>89</v>
      </c>
    </row>
    <row r="221" spans="1:12" ht="12.75" customHeight="1">
      <c r="A221">
        <v>219</v>
      </c>
      <c r="B221" s="77" t="s">
        <v>903</v>
      </c>
      <c r="C221" s="78" t="s">
        <v>1031</v>
      </c>
      <c r="E221" s="114" t="s">
        <v>89</v>
      </c>
      <c r="K221" s="114" t="s">
        <v>89</v>
      </c>
      <c r="L221" s="110" t="s">
        <v>89</v>
      </c>
    </row>
    <row r="222" spans="1:12" ht="12.75" customHeight="1">
      <c r="A222">
        <v>220</v>
      </c>
      <c r="B222" s="77" t="s">
        <v>904</v>
      </c>
      <c r="C222" s="78" t="s">
        <v>1032</v>
      </c>
      <c r="D222" s="114" t="s">
        <v>89</v>
      </c>
      <c r="K222" s="114" t="s">
        <v>89</v>
      </c>
      <c r="L222" s="110" t="s">
        <v>89</v>
      </c>
    </row>
    <row r="223" spans="1:12" ht="12.75" customHeight="1">
      <c r="A223">
        <v>221</v>
      </c>
      <c r="B223" s="77" t="s">
        <v>905</v>
      </c>
      <c r="C223" s="78" t="s">
        <v>1033</v>
      </c>
      <c r="D223" s="114" t="s">
        <v>89</v>
      </c>
      <c r="K223" s="114"/>
      <c r="L223" s="110"/>
    </row>
    <row r="224" spans="1:12" ht="12.75" customHeight="1">
      <c r="A224">
        <v>222</v>
      </c>
      <c r="B224" s="77" t="s">
        <v>906</v>
      </c>
      <c r="C224" s="78" t="s">
        <v>1034</v>
      </c>
      <c r="E224" s="114" t="s">
        <v>89</v>
      </c>
      <c r="K224" s="114" t="s">
        <v>89</v>
      </c>
      <c r="L224" s="110" t="s">
        <v>89</v>
      </c>
    </row>
    <row r="225" spans="1:12" ht="12.75" customHeight="1">
      <c r="A225">
        <v>223</v>
      </c>
      <c r="B225" s="79" t="s">
        <v>907</v>
      </c>
      <c r="C225" s="78" t="s">
        <v>1035</v>
      </c>
      <c r="D225" s="114" t="s">
        <v>89</v>
      </c>
      <c r="K225" s="114"/>
      <c r="L225" s="110"/>
    </row>
    <row r="226" spans="1:12" ht="12.75" customHeight="1">
      <c r="A226">
        <v>224</v>
      </c>
      <c r="B226" s="77" t="s">
        <v>908</v>
      </c>
      <c r="C226" s="78" t="s">
        <v>1036</v>
      </c>
      <c r="K226" s="114" t="s">
        <v>89</v>
      </c>
      <c r="L226" s="110" t="s">
        <v>89</v>
      </c>
    </row>
    <row r="227" spans="1:12" ht="12.75" customHeight="1">
      <c r="A227">
        <v>225</v>
      </c>
      <c r="B227" s="77" t="s">
        <v>909</v>
      </c>
      <c r="C227" s="78" t="s">
        <v>1037</v>
      </c>
      <c r="D227" s="114" t="s">
        <v>89</v>
      </c>
      <c r="K227" s="114" t="s">
        <v>89</v>
      </c>
      <c r="L227" s="110" t="s">
        <v>89</v>
      </c>
    </row>
    <row r="228" spans="1:12" ht="12.75" customHeight="1">
      <c r="A228">
        <v>226</v>
      </c>
      <c r="B228" s="77" t="s">
        <v>910</v>
      </c>
      <c r="C228" s="78" t="s">
        <v>1038</v>
      </c>
      <c r="D228" s="114" t="s">
        <v>89</v>
      </c>
      <c r="K228" s="114" t="s">
        <v>89</v>
      </c>
      <c r="L228" s="110" t="s">
        <v>89</v>
      </c>
    </row>
    <row r="229" spans="1:12" ht="12.75" customHeight="1">
      <c r="A229">
        <v>227</v>
      </c>
      <c r="B229" s="77" t="s">
        <v>911</v>
      </c>
      <c r="C229" s="78" t="s">
        <v>1039</v>
      </c>
      <c r="D229" s="114" t="s">
        <v>89</v>
      </c>
      <c r="E229" s="114" t="s">
        <v>89</v>
      </c>
      <c r="K229" s="114" t="s">
        <v>89</v>
      </c>
      <c r="L229" s="110" t="s">
        <v>89</v>
      </c>
    </row>
    <row r="230" spans="1:12" ht="12.75" customHeight="1">
      <c r="A230">
        <v>228</v>
      </c>
      <c r="B230" s="77" t="s">
        <v>912</v>
      </c>
      <c r="C230" s="78" t="s">
        <v>1040</v>
      </c>
      <c r="D230" s="114" t="s">
        <v>89</v>
      </c>
      <c r="E230" s="114" t="s">
        <v>89</v>
      </c>
      <c r="G230" s="114" t="s">
        <v>89</v>
      </c>
      <c r="K230" s="114" t="s">
        <v>89</v>
      </c>
      <c r="L230" s="110" t="s">
        <v>89</v>
      </c>
    </row>
    <row r="231" spans="1:12" ht="12.75" customHeight="1">
      <c r="A231">
        <v>229</v>
      </c>
      <c r="B231" s="79" t="s">
        <v>913</v>
      </c>
      <c r="C231" s="78" t="s">
        <v>1041</v>
      </c>
      <c r="E231" s="114" t="s">
        <v>89</v>
      </c>
      <c r="K231" s="114" t="s">
        <v>89</v>
      </c>
      <c r="L231" s="110" t="s">
        <v>89</v>
      </c>
    </row>
    <row r="232" spans="1:12" ht="12.75" customHeight="1">
      <c r="A232">
        <v>230</v>
      </c>
      <c r="B232" s="77" t="s">
        <v>914</v>
      </c>
      <c r="C232" s="78" t="s">
        <v>1042</v>
      </c>
      <c r="K232" s="114" t="s">
        <v>89</v>
      </c>
      <c r="L232" s="110" t="s">
        <v>89</v>
      </c>
    </row>
    <row r="233" spans="1:12" ht="12.75" customHeight="1">
      <c r="A233">
        <v>231</v>
      </c>
      <c r="B233" s="77" t="s">
        <v>915</v>
      </c>
      <c r="C233" s="78" t="s">
        <v>1043</v>
      </c>
      <c r="K233" s="114" t="s">
        <v>89</v>
      </c>
      <c r="L233" s="110" t="s">
        <v>89</v>
      </c>
    </row>
    <row r="234" spans="1:12" ht="12.75" customHeight="1">
      <c r="A234">
        <v>232</v>
      </c>
      <c r="B234" s="77" t="s">
        <v>916</v>
      </c>
      <c r="C234" s="78" t="s">
        <v>1044</v>
      </c>
      <c r="K234" s="114" t="s">
        <v>89</v>
      </c>
      <c r="L234" s="110" t="s">
        <v>89</v>
      </c>
    </row>
    <row r="235" spans="1:12" ht="12.75" customHeight="1">
      <c r="A235">
        <v>233</v>
      </c>
      <c r="B235" s="136" t="s">
        <v>1045</v>
      </c>
      <c r="C235" s="78" t="s">
        <v>1046</v>
      </c>
      <c r="G235" s="114" t="s">
        <v>89</v>
      </c>
      <c r="K235" s="114" t="s">
        <v>89</v>
      </c>
      <c r="L235" s="110" t="s">
        <v>89</v>
      </c>
    </row>
    <row r="236" spans="1:12" ht="12.75" customHeight="1">
      <c r="A236">
        <v>234</v>
      </c>
      <c r="B236" s="77" t="s">
        <v>917</v>
      </c>
      <c r="C236" s="78" t="s">
        <v>1047</v>
      </c>
      <c r="G236" s="114" t="s">
        <v>89</v>
      </c>
      <c r="K236" s="114" t="s">
        <v>89</v>
      </c>
      <c r="L236" s="110" t="s">
        <v>89</v>
      </c>
    </row>
    <row r="237" spans="1:12" ht="12.75" customHeight="1">
      <c r="A237">
        <v>235</v>
      </c>
      <c r="B237" s="77" t="s">
        <v>918</v>
      </c>
      <c r="C237" s="78" t="s">
        <v>1048</v>
      </c>
      <c r="K237" s="114" t="s">
        <v>89</v>
      </c>
      <c r="L237" s="110" t="s">
        <v>89</v>
      </c>
    </row>
    <row r="238" spans="1:12" ht="12.75" customHeight="1">
      <c r="A238">
        <v>236</v>
      </c>
      <c r="B238" s="77" t="s">
        <v>919</v>
      </c>
      <c r="C238" s="78" t="s">
        <v>1049</v>
      </c>
      <c r="E238" s="114" t="s">
        <v>89</v>
      </c>
      <c r="K238" s="114" t="s">
        <v>89</v>
      </c>
      <c r="L238" s="110" t="s">
        <v>89</v>
      </c>
    </row>
    <row r="239" spans="1:12" ht="12.75" customHeight="1">
      <c r="A239">
        <v>237</v>
      </c>
      <c r="B239" s="77" t="s">
        <v>920</v>
      </c>
      <c r="C239" s="78" t="s">
        <v>1050</v>
      </c>
      <c r="G239" s="114" t="s">
        <v>89</v>
      </c>
      <c r="K239" s="114" t="s">
        <v>89</v>
      </c>
      <c r="L239" s="110" t="s">
        <v>89</v>
      </c>
    </row>
    <row r="240" spans="1:12" ht="12.75" customHeight="1">
      <c r="A240">
        <v>238</v>
      </c>
      <c r="B240" s="136" t="s">
        <v>1051</v>
      </c>
      <c r="C240" s="78" t="s">
        <v>1052</v>
      </c>
      <c r="G240" s="114" t="s">
        <v>89</v>
      </c>
      <c r="K240" s="114" t="s">
        <v>89</v>
      </c>
      <c r="L240" s="110" t="s">
        <v>89</v>
      </c>
    </row>
    <row r="241" spans="1:12" ht="12.75" customHeight="1">
      <c r="A241">
        <v>239</v>
      </c>
      <c r="B241" s="77" t="s">
        <v>921</v>
      </c>
      <c r="C241" s="78" t="s">
        <v>1053</v>
      </c>
      <c r="K241" s="114" t="s">
        <v>89</v>
      </c>
      <c r="L241" s="110" t="s">
        <v>89</v>
      </c>
    </row>
    <row r="242" spans="1:12" ht="12.75" customHeight="1">
      <c r="A242">
        <v>240</v>
      </c>
      <c r="B242" s="77" t="s">
        <v>922</v>
      </c>
      <c r="C242" s="78" t="s">
        <v>1054</v>
      </c>
      <c r="D242" s="114" t="s">
        <v>89</v>
      </c>
      <c r="E242" s="114" t="s">
        <v>89</v>
      </c>
      <c r="G242" s="114" t="s">
        <v>89</v>
      </c>
      <c r="K242" s="114" t="s">
        <v>89</v>
      </c>
      <c r="L242" s="110" t="s">
        <v>89</v>
      </c>
    </row>
    <row r="243" spans="1:12" ht="12.75" customHeight="1">
      <c r="A243">
        <v>241</v>
      </c>
      <c r="B243" s="77" t="s">
        <v>923</v>
      </c>
      <c r="C243" s="78" t="s">
        <v>1055</v>
      </c>
      <c r="E243" s="114" t="s">
        <v>89</v>
      </c>
      <c r="K243" s="114" t="s">
        <v>89</v>
      </c>
      <c r="L243" s="110" t="s">
        <v>89</v>
      </c>
    </row>
    <row r="244" spans="1:12" ht="12.75" customHeight="1">
      <c r="A244">
        <v>242</v>
      </c>
      <c r="B244" s="77" t="s">
        <v>924</v>
      </c>
      <c r="C244" s="78" t="s">
        <v>1056</v>
      </c>
      <c r="D244" s="114" t="s">
        <v>89</v>
      </c>
      <c r="E244" s="114" t="s">
        <v>89</v>
      </c>
      <c r="K244" s="114" t="s">
        <v>89</v>
      </c>
      <c r="L244" s="110" t="s">
        <v>89</v>
      </c>
    </row>
    <row r="245" spans="1:12" ht="12.75" customHeight="1">
      <c r="A245">
        <v>243</v>
      </c>
      <c r="B245" s="136" t="s">
        <v>1057</v>
      </c>
      <c r="C245" s="78" t="s">
        <v>1058</v>
      </c>
      <c r="E245" s="114" t="s">
        <v>89</v>
      </c>
      <c r="K245" s="114" t="s">
        <v>89</v>
      </c>
      <c r="L245" s="110" t="s">
        <v>89</v>
      </c>
    </row>
    <row r="246" spans="1:12" ht="12.75" customHeight="1">
      <c r="A246">
        <v>244</v>
      </c>
      <c r="B246" s="77" t="s">
        <v>925</v>
      </c>
      <c r="C246" s="78" t="s">
        <v>1059</v>
      </c>
      <c r="E246" s="114" t="s">
        <v>89</v>
      </c>
      <c r="G246" s="114" t="s">
        <v>89</v>
      </c>
      <c r="K246" s="114" t="s">
        <v>89</v>
      </c>
      <c r="L246" s="110" t="s">
        <v>89</v>
      </c>
    </row>
    <row r="247" spans="1:12" ht="12.75" customHeight="1">
      <c r="A247">
        <v>245</v>
      </c>
      <c r="B247" s="79" t="s">
        <v>926</v>
      </c>
      <c r="C247" s="78" t="s">
        <v>1060</v>
      </c>
      <c r="D247" s="114" t="s">
        <v>89</v>
      </c>
      <c r="G247" s="114" t="s">
        <v>89</v>
      </c>
      <c r="K247" s="114" t="s">
        <v>89</v>
      </c>
      <c r="L247" s="110" t="s">
        <v>89</v>
      </c>
    </row>
    <row r="248" spans="1:12" ht="12.75" customHeight="1">
      <c r="A248">
        <v>246</v>
      </c>
      <c r="B248" s="79" t="s">
        <v>927</v>
      </c>
      <c r="C248" s="78" t="s">
        <v>1061</v>
      </c>
      <c r="E248" s="114" t="s">
        <v>89</v>
      </c>
      <c r="G248" s="114" t="s">
        <v>89</v>
      </c>
      <c r="K248" s="114" t="s">
        <v>89</v>
      </c>
      <c r="L248" s="110" t="s">
        <v>89</v>
      </c>
    </row>
    <row r="249" spans="1:12" ht="12.75" customHeight="1">
      <c r="A249">
        <v>247</v>
      </c>
      <c r="B249" s="77" t="s">
        <v>928</v>
      </c>
      <c r="C249" s="78" t="s">
        <v>1062</v>
      </c>
      <c r="K249" s="114" t="s">
        <v>89</v>
      </c>
      <c r="L249" s="110" t="s">
        <v>89</v>
      </c>
    </row>
    <row r="250" spans="1:12" ht="12.75" customHeight="1">
      <c r="A250">
        <v>248</v>
      </c>
      <c r="B250" s="79" t="s">
        <v>929</v>
      </c>
      <c r="C250" s="78" t="s">
        <v>1063</v>
      </c>
      <c r="G250" s="114" t="s">
        <v>89</v>
      </c>
      <c r="K250" s="114" t="s">
        <v>89</v>
      </c>
      <c r="L250" s="110" t="s">
        <v>89</v>
      </c>
    </row>
    <row r="251" spans="1:12" ht="12.75" customHeight="1">
      <c r="A251">
        <v>249</v>
      </c>
      <c r="B251" s="137" t="s">
        <v>1065</v>
      </c>
      <c r="C251" s="78" t="s">
        <v>1066</v>
      </c>
      <c r="G251" s="114" t="s">
        <v>89</v>
      </c>
      <c r="K251" s="114" t="s">
        <v>89</v>
      </c>
      <c r="L251" s="110" t="s">
        <v>89</v>
      </c>
    </row>
    <row r="252" spans="1:12" ht="12.75" customHeight="1">
      <c r="A252">
        <v>250</v>
      </c>
      <c r="B252" s="137" t="s">
        <v>1064</v>
      </c>
      <c r="C252" s="78" t="s">
        <v>1067</v>
      </c>
      <c r="D252" s="114" t="s">
        <v>89</v>
      </c>
      <c r="K252" s="114" t="s">
        <v>89</v>
      </c>
      <c r="L252" s="110" t="s">
        <v>89</v>
      </c>
    </row>
    <row r="253" spans="1:12" ht="12.75" customHeight="1">
      <c r="A253">
        <v>251</v>
      </c>
      <c r="B253" s="77" t="s">
        <v>930</v>
      </c>
      <c r="C253" s="78" t="s">
        <v>1068</v>
      </c>
      <c r="G253" s="114" t="s">
        <v>89</v>
      </c>
      <c r="K253" s="114" t="s">
        <v>89</v>
      </c>
      <c r="L253" s="110" t="s">
        <v>89</v>
      </c>
    </row>
    <row r="254" spans="1:12" ht="12.75" customHeight="1">
      <c r="A254">
        <v>252</v>
      </c>
      <c r="B254" s="77" t="s">
        <v>931</v>
      </c>
      <c r="C254" s="78" t="s">
        <v>1069</v>
      </c>
      <c r="D254" s="114" t="s">
        <v>89</v>
      </c>
      <c r="K254" s="114" t="s">
        <v>89</v>
      </c>
      <c r="L254" s="110" t="s">
        <v>89</v>
      </c>
    </row>
    <row r="255" spans="1:12" ht="12.75" customHeight="1">
      <c r="A255">
        <v>253</v>
      </c>
      <c r="B255" s="77" t="s">
        <v>932</v>
      </c>
      <c r="C255" s="78" t="s">
        <v>1070</v>
      </c>
      <c r="D255" s="114" t="s">
        <v>89</v>
      </c>
      <c r="K255" s="114"/>
      <c r="L255" s="110"/>
    </row>
    <row r="256" spans="1:12" ht="12.75" customHeight="1">
      <c r="A256">
        <v>254</v>
      </c>
      <c r="B256" s="77" t="s">
        <v>933</v>
      </c>
      <c r="C256" s="78" t="s">
        <v>1071</v>
      </c>
      <c r="D256" s="114" t="s">
        <v>89</v>
      </c>
      <c r="K256" s="114"/>
      <c r="L256" s="110"/>
    </row>
    <row r="257" spans="1:12" ht="12.75" customHeight="1">
      <c r="A257">
        <v>255</v>
      </c>
      <c r="B257" s="79" t="s">
        <v>934</v>
      </c>
      <c r="C257" s="78" t="s">
        <v>1072</v>
      </c>
      <c r="D257" s="114" t="s">
        <v>89</v>
      </c>
      <c r="K257" s="114" t="s">
        <v>89</v>
      </c>
      <c r="L257" s="110" t="s">
        <v>89</v>
      </c>
    </row>
    <row r="258" spans="1:12" ht="12.75" customHeight="1">
      <c r="A258">
        <v>256</v>
      </c>
      <c r="B258" s="77" t="s">
        <v>935</v>
      </c>
      <c r="C258" s="78" t="s">
        <v>1073</v>
      </c>
      <c r="K258" s="114" t="s">
        <v>89</v>
      </c>
      <c r="L258" s="110" t="s">
        <v>89</v>
      </c>
    </row>
    <row r="259" spans="1:12" ht="12.75" customHeight="1">
      <c r="A259">
        <v>257</v>
      </c>
      <c r="B259" s="77" t="s">
        <v>936</v>
      </c>
      <c r="C259" s="78" t="s">
        <v>1074</v>
      </c>
      <c r="E259" s="114" t="s">
        <v>89</v>
      </c>
      <c r="G259" s="114" t="s">
        <v>89</v>
      </c>
      <c r="K259" s="114" t="s">
        <v>89</v>
      </c>
      <c r="L259" s="110" t="s">
        <v>89</v>
      </c>
    </row>
    <row r="260" spans="1:12" ht="12.75" customHeight="1">
      <c r="A260">
        <v>258</v>
      </c>
      <c r="B260" s="79" t="s">
        <v>937</v>
      </c>
      <c r="C260" s="78" t="s">
        <v>1075</v>
      </c>
      <c r="K260" s="114" t="s">
        <v>89</v>
      </c>
      <c r="L260" s="110" t="s">
        <v>89</v>
      </c>
    </row>
    <row r="261" spans="1:12" ht="12.75" customHeight="1">
      <c r="A261">
        <v>259</v>
      </c>
      <c r="B261" s="79" t="s">
        <v>938</v>
      </c>
      <c r="C261" s="78" t="s">
        <v>1076</v>
      </c>
      <c r="K261" s="114" t="s">
        <v>89</v>
      </c>
      <c r="L261" s="110" t="s">
        <v>89</v>
      </c>
    </row>
    <row r="262" spans="1:12" ht="12.75" customHeight="1">
      <c r="A262">
        <v>260</v>
      </c>
      <c r="B262" s="77" t="s">
        <v>939</v>
      </c>
      <c r="C262" s="78" t="s">
        <v>1077</v>
      </c>
      <c r="D262" s="114" t="s">
        <v>89</v>
      </c>
      <c r="E262" s="114" t="s">
        <v>89</v>
      </c>
      <c r="K262" s="114" t="s">
        <v>89</v>
      </c>
      <c r="L262" s="110" t="s">
        <v>89</v>
      </c>
    </row>
    <row r="263" spans="1:12" ht="12.75" customHeight="1">
      <c r="A263">
        <v>261</v>
      </c>
      <c r="B263" s="77" t="s">
        <v>940</v>
      </c>
      <c r="C263" s="78" t="s">
        <v>1078</v>
      </c>
      <c r="E263" s="114" t="s">
        <v>89</v>
      </c>
      <c r="K263" s="114" t="s">
        <v>89</v>
      </c>
      <c r="L263" s="110" t="s">
        <v>89</v>
      </c>
    </row>
    <row r="264" spans="1:12" ht="12.75" customHeight="1">
      <c r="A264">
        <v>262</v>
      </c>
      <c r="B264" s="77" t="s">
        <v>941</v>
      </c>
      <c r="C264" s="78" t="s">
        <v>1079</v>
      </c>
      <c r="E264" s="114" t="s">
        <v>89</v>
      </c>
      <c r="G264" s="114" t="s">
        <v>89</v>
      </c>
      <c r="K264" s="114" t="s">
        <v>89</v>
      </c>
      <c r="L264" s="110" t="s">
        <v>89</v>
      </c>
    </row>
    <row r="265" spans="1:12" ht="12.75" customHeight="1">
      <c r="A265">
        <v>263</v>
      </c>
      <c r="B265" s="136" t="s">
        <v>1080</v>
      </c>
      <c r="C265" s="78" t="s">
        <v>1081</v>
      </c>
      <c r="E265" s="114" t="s">
        <v>89</v>
      </c>
      <c r="K265" s="114" t="s">
        <v>89</v>
      </c>
      <c r="L265" s="110" t="s">
        <v>89</v>
      </c>
    </row>
    <row r="266" spans="1:12" ht="12.75" customHeight="1">
      <c r="A266">
        <v>264</v>
      </c>
      <c r="B266" s="77" t="s">
        <v>942</v>
      </c>
      <c r="C266" s="78" t="s">
        <v>1082</v>
      </c>
      <c r="D266" s="114" t="s">
        <v>89</v>
      </c>
      <c r="K266" s="114"/>
      <c r="L266" s="110"/>
    </row>
    <row r="267" spans="1:12" ht="12.75" customHeight="1">
      <c r="A267">
        <v>265</v>
      </c>
      <c r="B267" s="77" t="s">
        <v>943</v>
      </c>
      <c r="C267" s="78" t="s">
        <v>1083</v>
      </c>
      <c r="E267" s="114" t="s">
        <v>89</v>
      </c>
      <c r="K267" s="114" t="s">
        <v>89</v>
      </c>
      <c r="L267" s="110" t="s">
        <v>89</v>
      </c>
    </row>
    <row r="268" spans="1:12" ht="12.75" customHeight="1">
      <c r="A268">
        <v>266</v>
      </c>
      <c r="B268" s="79" t="s">
        <v>944</v>
      </c>
      <c r="C268" s="78" t="s">
        <v>1084</v>
      </c>
      <c r="E268" s="114" t="s">
        <v>89</v>
      </c>
      <c r="K268" s="114" t="s">
        <v>89</v>
      </c>
      <c r="L268" s="110" t="s">
        <v>89</v>
      </c>
    </row>
    <row r="269" spans="1:12" ht="12.75" customHeight="1">
      <c r="A269">
        <v>267</v>
      </c>
      <c r="B269" s="136" t="s">
        <v>1085</v>
      </c>
      <c r="C269" s="78" t="s">
        <v>1086</v>
      </c>
      <c r="E269" s="114" t="s">
        <v>89</v>
      </c>
      <c r="G269" s="114" t="s">
        <v>89</v>
      </c>
      <c r="K269" s="114" t="s">
        <v>89</v>
      </c>
      <c r="L269" s="110" t="s">
        <v>89</v>
      </c>
    </row>
    <row r="270" spans="1:12" ht="12.75" customHeight="1">
      <c r="B270" s="77"/>
    </row>
    <row r="271" spans="1:12" ht="12.75" customHeight="1">
      <c r="B271" s="77"/>
    </row>
    <row r="272" spans="1:12" ht="12.75" customHeight="1">
      <c r="B272" s="77"/>
    </row>
    <row r="273" spans="2:2" ht="12.75" customHeight="1">
      <c r="B273" s="77"/>
    </row>
    <row r="274" spans="2:2" ht="12.75" customHeight="1">
      <c r="B274" s="77"/>
    </row>
    <row r="275" spans="2:2" ht="12.75" customHeight="1">
      <c r="B275" s="77"/>
    </row>
    <row r="276" spans="2:2" ht="12.75" customHeight="1">
      <c r="B276" s="77"/>
    </row>
    <row r="277" spans="2:2" ht="12.75" customHeight="1">
      <c r="B277" s="77"/>
    </row>
    <row r="278" spans="2:2" ht="12.75" customHeight="1">
      <c r="B278" s="77"/>
    </row>
    <row r="279" spans="2:2" ht="12.75" customHeight="1">
      <c r="B279" s="77"/>
    </row>
    <row r="280" spans="2:2" ht="12.75" customHeight="1">
      <c r="B280" s="77"/>
    </row>
    <row r="281" spans="2:2" ht="12.75" customHeight="1">
      <c r="B281" s="77"/>
    </row>
  </sheetData>
  <mergeCells count="1">
    <mergeCell ref="F1:O1"/>
  </mergeCells>
  <phoneticPr fontId="2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O16"/>
  <sheetViews>
    <sheetView workbookViewId="0">
      <selection activeCell="K8" sqref="K8"/>
    </sheetView>
  </sheetViews>
  <sheetFormatPr defaultRowHeight="12.75"/>
  <cols>
    <col min="1" max="1" width="9.140625" style="8"/>
    <col min="2" max="2" width="22.5703125" style="64" customWidth="1"/>
    <col min="3" max="3" width="13.85546875" style="8" customWidth="1"/>
    <col min="4" max="4" width="15.85546875" style="8" customWidth="1"/>
    <col min="5" max="5" width="17.5703125" style="8" customWidth="1"/>
    <col min="6" max="6" width="16" style="8" customWidth="1"/>
    <col min="7" max="7" width="16.28515625" style="8" customWidth="1"/>
    <col min="8" max="8" width="15.85546875" style="8" customWidth="1"/>
    <col min="9" max="20" width="12.7109375" style="8" customWidth="1"/>
    <col min="21" max="21" width="9.140625" style="8"/>
    <col min="22" max="22" width="14.5703125" style="8" customWidth="1"/>
    <col min="23" max="16384" width="9.140625" style="8"/>
  </cols>
  <sheetData>
    <row r="1" spans="1:41">
      <c r="B1" s="159"/>
      <c r="C1" s="160"/>
      <c r="D1" s="160"/>
      <c r="E1" s="160"/>
      <c r="F1" s="160"/>
    </row>
    <row r="2" spans="1:41">
      <c r="B2" s="161" t="s">
        <v>85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41" ht="26.25" thickBot="1">
      <c r="B3" s="65" t="s">
        <v>16</v>
      </c>
    </row>
    <row r="4" spans="1:41" ht="26.25" thickBot="1">
      <c r="A4" s="8" t="s">
        <v>122</v>
      </c>
      <c r="B4" s="53" t="s">
        <v>6</v>
      </c>
      <c r="C4" s="54" t="s">
        <v>7</v>
      </c>
      <c r="D4" s="54" t="s">
        <v>0</v>
      </c>
      <c r="E4" s="54" t="s">
        <v>1</v>
      </c>
      <c r="F4" s="54" t="s">
        <v>2</v>
      </c>
      <c r="G4" s="54" t="s">
        <v>3</v>
      </c>
      <c r="H4" s="54" t="s">
        <v>4</v>
      </c>
      <c r="I4" s="22" t="s">
        <v>67</v>
      </c>
      <c r="J4" s="23" t="s">
        <v>68</v>
      </c>
      <c r="K4" s="23" t="s">
        <v>69</v>
      </c>
      <c r="L4" s="23" t="s">
        <v>70</v>
      </c>
      <c r="M4" s="24" t="s">
        <v>71</v>
      </c>
      <c r="N4" s="24" t="s">
        <v>72</v>
      </c>
      <c r="O4" s="24" t="s">
        <v>73</v>
      </c>
      <c r="P4" s="92" t="s">
        <v>74</v>
      </c>
      <c r="Q4" s="92" t="s">
        <v>75</v>
      </c>
      <c r="R4" s="92" t="s">
        <v>76</v>
      </c>
      <c r="S4" s="92" t="s">
        <v>77</v>
      </c>
      <c r="T4" s="95" t="s">
        <v>78</v>
      </c>
      <c r="U4" s="24" t="s">
        <v>79</v>
      </c>
      <c r="V4" s="9" t="s">
        <v>81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1" s="4" customFormat="1">
      <c r="A5" s="4">
        <v>1</v>
      </c>
      <c r="B5" s="66" t="s">
        <v>525</v>
      </c>
      <c r="C5" s="10" t="s">
        <v>531</v>
      </c>
      <c r="D5" s="10" t="s">
        <v>537</v>
      </c>
      <c r="E5" s="4" t="s">
        <v>541</v>
      </c>
      <c r="F5" s="4" t="s">
        <v>546</v>
      </c>
      <c r="G5" s="4" t="s">
        <v>550</v>
      </c>
      <c r="H5" s="4" t="s">
        <v>5</v>
      </c>
      <c r="L5" s="4" t="s">
        <v>89</v>
      </c>
      <c r="U5" s="70"/>
      <c r="V5" s="70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</row>
    <row r="6" spans="1:41" s="4" customFormat="1">
      <c r="A6" s="4">
        <v>2</v>
      </c>
      <c r="B6" s="66" t="s">
        <v>526</v>
      </c>
      <c r="C6" s="10" t="s">
        <v>532</v>
      </c>
      <c r="D6" s="10" t="s">
        <v>538</v>
      </c>
      <c r="E6" s="4" t="s">
        <v>541</v>
      </c>
      <c r="F6" s="4" t="s">
        <v>546</v>
      </c>
      <c r="G6" s="4" t="s">
        <v>550</v>
      </c>
      <c r="H6" s="4" t="s">
        <v>5</v>
      </c>
      <c r="L6" s="4" t="s">
        <v>89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</row>
    <row r="7" spans="1:41" s="4" customFormat="1">
      <c r="A7" s="4">
        <v>3</v>
      </c>
      <c r="B7" s="66" t="s">
        <v>527</v>
      </c>
      <c r="C7" s="10" t="s">
        <v>533</v>
      </c>
      <c r="D7" s="10" t="s">
        <v>469</v>
      </c>
      <c r="E7" s="4" t="s">
        <v>542</v>
      </c>
      <c r="F7" s="4" t="s">
        <v>547</v>
      </c>
      <c r="G7" s="4" t="s">
        <v>551</v>
      </c>
      <c r="H7" s="4" t="s">
        <v>5</v>
      </c>
      <c r="L7" s="4" t="s">
        <v>89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1:41" s="4" customFormat="1">
      <c r="A8" s="4">
        <v>4</v>
      </c>
      <c r="B8" s="66" t="s">
        <v>528</v>
      </c>
      <c r="C8" s="10" t="s">
        <v>534</v>
      </c>
      <c r="D8" s="10" t="s">
        <v>539</v>
      </c>
      <c r="E8" s="4" t="s">
        <v>543</v>
      </c>
      <c r="F8" s="4" t="s">
        <v>548</v>
      </c>
      <c r="G8" s="4" t="s">
        <v>551</v>
      </c>
      <c r="H8" s="4" t="s">
        <v>5</v>
      </c>
      <c r="L8" s="4" t="s">
        <v>89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</row>
    <row r="9" spans="1:41" s="4" customFormat="1">
      <c r="A9" s="4">
        <v>5</v>
      </c>
      <c r="B9" s="66" t="s">
        <v>529</v>
      </c>
      <c r="C9" s="10" t="s">
        <v>535</v>
      </c>
      <c r="D9" s="10" t="s">
        <v>207</v>
      </c>
      <c r="E9" s="4" t="s">
        <v>544</v>
      </c>
      <c r="F9" s="4" t="s">
        <v>547</v>
      </c>
      <c r="G9" s="4" t="s">
        <v>551</v>
      </c>
      <c r="H9" s="4" t="s">
        <v>5</v>
      </c>
      <c r="K9" s="4" t="s">
        <v>89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</row>
    <row r="10" spans="1:41" s="4" customFormat="1">
      <c r="A10" s="4">
        <v>6</v>
      </c>
      <c r="B10" s="66" t="s">
        <v>530</v>
      </c>
      <c r="C10" s="10" t="s">
        <v>536</v>
      </c>
      <c r="D10" s="10" t="s">
        <v>540</v>
      </c>
      <c r="E10" s="4" t="s">
        <v>545</v>
      </c>
      <c r="F10" s="4" t="s">
        <v>549</v>
      </c>
      <c r="G10" s="4" t="s">
        <v>551</v>
      </c>
      <c r="H10" s="4" t="s">
        <v>5</v>
      </c>
      <c r="J10" s="4" t="s">
        <v>89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6"/>
    </row>
    <row r="11" spans="1:41" s="4" customFormat="1">
      <c r="B11" s="66"/>
      <c r="C11" s="10"/>
      <c r="D11" s="10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6"/>
    </row>
    <row r="12" spans="1:41" s="4" customFormat="1">
      <c r="B12" s="66"/>
      <c r="C12" s="10"/>
      <c r="D12" s="10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6"/>
    </row>
    <row r="13" spans="1:41" s="4" customFormat="1">
      <c r="B13" s="67" t="s">
        <v>552</v>
      </c>
      <c r="F13" s="5" t="s">
        <v>82</v>
      </c>
      <c r="I13" s="5"/>
      <c r="J13" s="5"/>
      <c r="K13" s="5"/>
      <c r="L13" s="5"/>
      <c r="M13" s="5"/>
      <c r="N13" s="5"/>
      <c r="O13" s="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</row>
    <row r="14" spans="1:41" s="4" customFormat="1">
      <c r="A14" s="130"/>
      <c r="B14" s="6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</row>
    <row r="15" spans="1:41">
      <c r="B15" s="69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M15" s="55"/>
      <c r="AN15" s="55"/>
    </row>
    <row r="16" spans="1:41"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M16" s="55"/>
    </row>
  </sheetData>
  <mergeCells count="2">
    <mergeCell ref="B1:F1"/>
    <mergeCell ref="B2:V2"/>
  </mergeCells>
  <phoneticPr fontId="2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M65"/>
  <sheetViews>
    <sheetView topLeftCell="A40" workbookViewId="0">
      <selection activeCell="E16" sqref="E16"/>
    </sheetView>
  </sheetViews>
  <sheetFormatPr defaultColWidth="13.7109375" defaultRowHeight="12.75"/>
  <cols>
    <col min="1" max="1" width="13.7109375" style="18"/>
    <col min="2" max="2" width="27.140625" style="18" customWidth="1"/>
    <col min="3" max="3" width="14.42578125" style="18" customWidth="1"/>
    <col min="4" max="4" width="13.7109375" style="18"/>
    <col min="5" max="5" width="17.42578125" style="18" customWidth="1"/>
    <col min="6" max="6" width="15" style="18" customWidth="1"/>
    <col min="7" max="7" width="8.28515625" style="18" customWidth="1"/>
    <col min="8" max="8" width="8.7109375" style="18" customWidth="1"/>
    <col min="9" max="20" width="12.7109375" style="18" customWidth="1"/>
    <col min="21" max="16384" width="13.7109375" style="18"/>
  </cols>
  <sheetData>
    <row r="1" spans="1:195" ht="55.5" customHeight="1">
      <c r="I1" s="163" t="s">
        <v>474</v>
      </c>
      <c r="J1" s="156"/>
      <c r="K1" s="156"/>
      <c r="L1" s="156"/>
      <c r="M1" s="156"/>
    </row>
    <row r="2" spans="1:195" ht="26.25" thickBot="1">
      <c r="B2" s="102" t="s">
        <v>83</v>
      </c>
      <c r="C2" s="45"/>
      <c r="D2" s="45"/>
      <c r="E2" s="45"/>
      <c r="F2" s="45"/>
      <c r="G2" s="45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</row>
    <row r="3" spans="1:195" s="46" customFormat="1" ht="26.25" thickBot="1">
      <c r="B3" s="44" t="s">
        <v>6</v>
      </c>
      <c r="C3" s="45" t="s">
        <v>7</v>
      </c>
      <c r="D3" s="45" t="s">
        <v>0</v>
      </c>
      <c r="E3" s="45" t="s">
        <v>1</v>
      </c>
      <c r="F3" s="45" t="s">
        <v>2</v>
      </c>
      <c r="G3" s="45" t="s">
        <v>3</v>
      </c>
      <c r="H3" s="100" t="s">
        <v>4</v>
      </c>
      <c r="I3" s="22" t="s">
        <v>67</v>
      </c>
      <c r="J3" s="23" t="s">
        <v>68</v>
      </c>
      <c r="K3" s="23" t="s">
        <v>69</v>
      </c>
      <c r="L3" s="23" t="s">
        <v>70</v>
      </c>
      <c r="M3" s="24" t="s">
        <v>71</v>
      </c>
      <c r="N3" s="24" t="s">
        <v>72</v>
      </c>
      <c r="O3" s="24" t="s">
        <v>73</v>
      </c>
      <c r="P3" s="92" t="s">
        <v>74</v>
      </c>
      <c r="Q3" s="92" t="s">
        <v>75</v>
      </c>
      <c r="R3" s="92" t="s">
        <v>76</v>
      </c>
      <c r="S3" s="92" t="s">
        <v>77</v>
      </c>
      <c r="T3" s="92" t="s">
        <v>78</v>
      </c>
      <c r="U3" s="95" t="s">
        <v>79</v>
      </c>
      <c r="V3" s="9" t="s">
        <v>81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</row>
    <row r="4" spans="1:195" s="46" customFormat="1" ht="24.75" thickBot="1">
      <c r="A4" s="27">
        <v>1</v>
      </c>
      <c r="B4" s="104" t="s">
        <v>261</v>
      </c>
      <c r="C4" s="128" t="s">
        <v>304</v>
      </c>
      <c r="D4" s="129" t="s">
        <v>305</v>
      </c>
      <c r="E4" s="104" t="s">
        <v>306</v>
      </c>
      <c r="F4" s="104" t="s">
        <v>307</v>
      </c>
      <c r="G4" s="104" t="s">
        <v>308</v>
      </c>
      <c r="H4" s="104" t="s">
        <v>5</v>
      </c>
      <c r="I4" s="106" t="s">
        <v>89</v>
      </c>
      <c r="J4" s="106" t="s">
        <v>89</v>
      </c>
      <c r="K4" s="106" t="s">
        <v>89</v>
      </c>
      <c r="L4" s="106" t="s">
        <v>89</v>
      </c>
      <c r="M4" s="97"/>
      <c r="N4" s="97"/>
      <c r="O4" s="97"/>
      <c r="P4" s="97"/>
      <c r="Q4" s="97"/>
      <c r="R4" s="97"/>
      <c r="S4" s="97"/>
      <c r="T4" s="9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</row>
    <row r="5" spans="1:195" s="46" customFormat="1" ht="13.5" thickBot="1">
      <c r="A5" s="27">
        <v>2</v>
      </c>
      <c r="B5" s="104" t="s">
        <v>262</v>
      </c>
      <c r="C5" s="128" t="s">
        <v>309</v>
      </c>
      <c r="D5" s="129" t="s">
        <v>310</v>
      </c>
      <c r="E5" s="104" t="s">
        <v>311</v>
      </c>
      <c r="F5" s="104" t="s">
        <v>307</v>
      </c>
      <c r="G5" s="104" t="s">
        <v>308</v>
      </c>
      <c r="H5" s="104" t="s">
        <v>5</v>
      </c>
      <c r="I5" s="106" t="s">
        <v>89</v>
      </c>
      <c r="J5" s="106"/>
      <c r="K5" s="106" t="s">
        <v>89</v>
      </c>
      <c r="L5" s="106" t="s">
        <v>89</v>
      </c>
      <c r="M5" s="97"/>
      <c r="N5" s="97"/>
      <c r="O5" s="97"/>
      <c r="P5" s="97"/>
      <c r="Q5" s="97"/>
      <c r="R5" s="97"/>
      <c r="S5" s="97"/>
      <c r="T5" s="9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</row>
    <row r="6" spans="1:195" s="46" customFormat="1" ht="13.5" thickBot="1">
      <c r="A6" s="27">
        <v>3</v>
      </c>
      <c r="B6" s="104" t="s">
        <v>263</v>
      </c>
      <c r="C6" s="128" t="s">
        <v>312</v>
      </c>
      <c r="D6" s="129" t="s">
        <v>313</v>
      </c>
      <c r="E6" s="104" t="s">
        <v>314</v>
      </c>
      <c r="F6" s="104" t="s">
        <v>307</v>
      </c>
      <c r="G6" s="104" t="s">
        <v>308</v>
      </c>
      <c r="H6" s="104" t="s">
        <v>5</v>
      </c>
      <c r="I6" s="106" t="s">
        <v>89</v>
      </c>
      <c r="J6" s="106" t="s">
        <v>89</v>
      </c>
      <c r="K6" s="106" t="s">
        <v>89</v>
      </c>
      <c r="L6" s="106" t="s">
        <v>89</v>
      </c>
      <c r="M6" s="97"/>
      <c r="N6" s="97"/>
      <c r="O6" s="97"/>
      <c r="P6" s="97"/>
      <c r="Q6" s="97"/>
      <c r="R6" s="97"/>
      <c r="S6" s="97"/>
      <c r="T6" s="9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</row>
    <row r="7" spans="1:195" s="46" customFormat="1" ht="13.5" thickBot="1">
      <c r="A7" s="123">
        <v>4</v>
      </c>
      <c r="B7" s="104" t="s">
        <v>264</v>
      </c>
      <c r="C7" s="128" t="s">
        <v>315</v>
      </c>
      <c r="D7" s="129" t="s">
        <v>316</v>
      </c>
      <c r="E7" s="104" t="s">
        <v>317</v>
      </c>
      <c r="F7" s="104" t="s">
        <v>307</v>
      </c>
      <c r="G7" s="104" t="s">
        <v>308</v>
      </c>
      <c r="H7" s="104" t="s">
        <v>5</v>
      </c>
      <c r="I7" s="106" t="s">
        <v>89</v>
      </c>
      <c r="J7" s="106"/>
      <c r="K7" s="106" t="s">
        <v>89</v>
      </c>
      <c r="L7" s="106"/>
      <c r="M7" s="97"/>
      <c r="N7" s="97"/>
      <c r="O7" s="97"/>
      <c r="P7" s="97"/>
      <c r="Q7" s="97"/>
      <c r="R7" s="97"/>
      <c r="S7" s="97"/>
      <c r="T7" s="9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</row>
    <row r="8" spans="1:195" s="46" customFormat="1" ht="13.5" thickBot="1">
      <c r="A8" s="123">
        <v>5</v>
      </c>
      <c r="B8" s="104" t="s">
        <v>265</v>
      </c>
      <c r="C8" s="128" t="s">
        <v>318</v>
      </c>
      <c r="D8" s="129" t="s">
        <v>319</v>
      </c>
      <c r="E8" s="104" t="s">
        <v>320</v>
      </c>
      <c r="F8" s="104" t="s">
        <v>307</v>
      </c>
      <c r="G8" s="104" t="s">
        <v>308</v>
      </c>
      <c r="H8" s="104" t="s">
        <v>5</v>
      </c>
      <c r="I8" s="106" t="s">
        <v>89</v>
      </c>
      <c r="J8" s="106"/>
      <c r="K8" s="106" t="s">
        <v>89</v>
      </c>
      <c r="L8" s="106" t="s">
        <v>89</v>
      </c>
      <c r="M8" s="97"/>
      <c r="N8" s="97"/>
      <c r="O8" s="97"/>
      <c r="P8" s="97"/>
      <c r="Q8" s="97"/>
      <c r="R8" s="97"/>
      <c r="S8" s="97"/>
      <c r="T8" s="9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</row>
    <row r="9" spans="1:195" s="46" customFormat="1" ht="13.5" thickBot="1">
      <c r="A9" s="123">
        <v>6</v>
      </c>
      <c r="B9" s="104" t="s">
        <v>266</v>
      </c>
      <c r="C9" s="128" t="s">
        <v>321</v>
      </c>
      <c r="D9" s="129" t="s">
        <v>322</v>
      </c>
      <c r="E9" s="104" t="s">
        <v>323</v>
      </c>
      <c r="F9" s="104" t="s">
        <v>307</v>
      </c>
      <c r="G9" s="104" t="s">
        <v>308</v>
      </c>
      <c r="H9" s="104" t="s">
        <v>5</v>
      </c>
      <c r="I9" s="106" t="s">
        <v>89</v>
      </c>
      <c r="J9" s="106"/>
      <c r="K9" s="106"/>
      <c r="L9" s="106"/>
      <c r="M9" s="97"/>
      <c r="N9" s="97"/>
      <c r="O9" s="97"/>
      <c r="P9" s="97"/>
      <c r="Q9" s="97"/>
      <c r="R9" s="97"/>
      <c r="S9" s="97"/>
      <c r="T9" s="9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</row>
    <row r="10" spans="1:195" s="46" customFormat="1" ht="13.5" thickBot="1">
      <c r="A10" s="123">
        <v>7</v>
      </c>
      <c r="B10" s="104" t="s">
        <v>267</v>
      </c>
      <c r="C10" s="128" t="s">
        <v>324</v>
      </c>
      <c r="D10" s="129" t="s">
        <v>325</v>
      </c>
      <c r="E10" s="104" t="s">
        <v>326</v>
      </c>
      <c r="F10" s="104" t="s">
        <v>307</v>
      </c>
      <c r="G10" s="104" t="s">
        <v>308</v>
      </c>
      <c r="H10" s="104" t="s">
        <v>5</v>
      </c>
      <c r="I10" s="106" t="s">
        <v>89</v>
      </c>
      <c r="J10" s="106"/>
      <c r="K10" s="106"/>
      <c r="L10" s="106" t="s">
        <v>89</v>
      </c>
      <c r="M10" s="97"/>
      <c r="N10" s="97"/>
      <c r="O10" s="97"/>
      <c r="P10" s="97"/>
      <c r="Q10" s="97"/>
      <c r="R10" s="97"/>
      <c r="S10" s="97"/>
      <c r="T10" s="9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</row>
    <row r="11" spans="1:195" s="46" customFormat="1" ht="13.5" thickBot="1">
      <c r="A11" s="123">
        <v>8</v>
      </c>
      <c r="B11" s="104" t="s">
        <v>268</v>
      </c>
      <c r="C11" s="128" t="s">
        <v>327</v>
      </c>
      <c r="D11" s="129" t="s">
        <v>328</v>
      </c>
      <c r="E11" s="104" t="s">
        <v>329</v>
      </c>
      <c r="F11" s="104" t="s">
        <v>307</v>
      </c>
      <c r="G11" s="104" t="s">
        <v>308</v>
      </c>
      <c r="H11" s="104" t="s">
        <v>5</v>
      </c>
      <c r="I11" s="106" t="s">
        <v>89</v>
      </c>
      <c r="J11" s="106"/>
      <c r="K11" s="106" t="s">
        <v>89</v>
      </c>
      <c r="L11" s="106"/>
      <c r="M11" s="97"/>
      <c r="N11" s="97"/>
      <c r="O11" s="97"/>
      <c r="P11" s="97"/>
      <c r="Q11" s="97"/>
      <c r="R11" s="97"/>
      <c r="S11" s="97"/>
      <c r="T11" s="9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</row>
    <row r="12" spans="1:195" s="46" customFormat="1" ht="13.5" thickBot="1">
      <c r="A12" s="123">
        <v>9</v>
      </c>
      <c r="B12" s="104" t="s">
        <v>269</v>
      </c>
      <c r="C12" s="128" t="s">
        <v>330</v>
      </c>
      <c r="D12" s="129" t="s">
        <v>331</v>
      </c>
      <c r="E12" s="104" t="s">
        <v>306</v>
      </c>
      <c r="F12" s="104" t="s">
        <v>307</v>
      </c>
      <c r="G12" s="104" t="s">
        <v>308</v>
      </c>
      <c r="H12" s="104" t="s">
        <v>5</v>
      </c>
      <c r="I12" s="106" t="s">
        <v>89</v>
      </c>
      <c r="J12" s="106"/>
      <c r="K12" s="106" t="s">
        <v>89</v>
      </c>
      <c r="L12" s="106" t="s">
        <v>89</v>
      </c>
      <c r="M12" s="97"/>
      <c r="N12" s="97"/>
      <c r="O12" s="97"/>
      <c r="P12" s="97"/>
      <c r="Q12" s="97"/>
      <c r="R12" s="97"/>
      <c r="S12" s="97"/>
      <c r="T12" s="9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</row>
    <row r="13" spans="1:195" s="46" customFormat="1" ht="13.5" thickBot="1">
      <c r="A13" s="123">
        <v>10</v>
      </c>
      <c r="B13" s="104" t="s">
        <v>270</v>
      </c>
      <c r="C13" s="128" t="s">
        <v>332</v>
      </c>
      <c r="D13" s="129" t="s">
        <v>333</v>
      </c>
      <c r="E13" s="104" t="s">
        <v>314</v>
      </c>
      <c r="F13" s="104" t="s">
        <v>307</v>
      </c>
      <c r="G13" s="104" t="s">
        <v>308</v>
      </c>
      <c r="H13" s="104" t="s">
        <v>5</v>
      </c>
      <c r="I13" s="106" t="s">
        <v>89</v>
      </c>
      <c r="J13" s="106" t="s">
        <v>89</v>
      </c>
      <c r="K13" s="106" t="s">
        <v>89</v>
      </c>
      <c r="L13" s="106"/>
      <c r="M13" s="97"/>
      <c r="N13" s="97"/>
      <c r="O13" s="97"/>
      <c r="P13" s="97"/>
      <c r="Q13" s="97"/>
      <c r="R13" s="97"/>
      <c r="S13" s="97"/>
      <c r="T13" s="9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</row>
    <row r="14" spans="1:195" s="46" customFormat="1" ht="13.5" thickBot="1">
      <c r="A14" s="123">
        <v>11</v>
      </c>
      <c r="B14" s="104" t="s">
        <v>271</v>
      </c>
      <c r="C14" s="128" t="s">
        <v>334</v>
      </c>
      <c r="D14" s="129" t="s">
        <v>335</v>
      </c>
      <c r="E14" s="104" t="s">
        <v>317</v>
      </c>
      <c r="F14" s="104" t="s">
        <v>307</v>
      </c>
      <c r="G14" s="104" t="s">
        <v>308</v>
      </c>
      <c r="H14" s="104" t="s">
        <v>5</v>
      </c>
      <c r="I14" s="106" t="s">
        <v>89</v>
      </c>
      <c r="J14" s="106"/>
      <c r="K14" s="106" t="s">
        <v>89</v>
      </c>
      <c r="L14" s="106" t="s">
        <v>89</v>
      </c>
      <c r="M14" s="97"/>
      <c r="N14" s="97"/>
      <c r="O14" s="97"/>
      <c r="P14" s="97"/>
      <c r="Q14" s="97"/>
      <c r="R14" s="97"/>
      <c r="S14" s="97"/>
      <c r="T14" s="9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</row>
    <row r="15" spans="1:195" s="46" customFormat="1" ht="13.5" thickBot="1">
      <c r="A15" s="123">
        <v>12</v>
      </c>
      <c r="B15" s="104" t="s">
        <v>272</v>
      </c>
      <c r="C15" s="128" t="s">
        <v>336</v>
      </c>
      <c r="D15" s="129" t="s">
        <v>337</v>
      </c>
      <c r="E15" s="104" t="s">
        <v>338</v>
      </c>
      <c r="F15" s="104" t="s">
        <v>339</v>
      </c>
      <c r="G15" s="104" t="s">
        <v>308</v>
      </c>
      <c r="H15" s="104" t="s">
        <v>5</v>
      </c>
      <c r="I15" s="106" t="s">
        <v>89</v>
      </c>
      <c r="J15" s="106"/>
      <c r="K15" s="106"/>
      <c r="L15" s="106" t="s">
        <v>89</v>
      </c>
      <c r="M15" s="97"/>
      <c r="N15" s="97"/>
      <c r="O15" s="97"/>
      <c r="P15" s="97"/>
      <c r="Q15" s="97"/>
      <c r="R15" s="97"/>
      <c r="S15" s="97"/>
      <c r="T15" s="9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</row>
    <row r="16" spans="1:195" s="46" customFormat="1" ht="13.5" thickBot="1">
      <c r="A16" s="123">
        <v>13</v>
      </c>
      <c r="B16" s="104" t="s">
        <v>273</v>
      </c>
      <c r="C16" s="128" t="s">
        <v>340</v>
      </c>
      <c r="D16" s="129" t="s">
        <v>341</v>
      </c>
      <c r="E16" s="104" t="s">
        <v>342</v>
      </c>
      <c r="F16" s="104" t="s">
        <v>307</v>
      </c>
      <c r="G16" s="104" t="s">
        <v>308</v>
      </c>
      <c r="H16" s="104" t="s">
        <v>5</v>
      </c>
      <c r="I16" s="106" t="s">
        <v>89</v>
      </c>
      <c r="J16" s="106"/>
      <c r="K16" s="106" t="s">
        <v>89</v>
      </c>
      <c r="L16" s="106"/>
      <c r="M16" s="97"/>
      <c r="N16" s="97"/>
      <c r="O16" s="97"/>
      <c r="P16" s="97"/>
      <c r="Q16" s="97"/>
      <c r="R16" s="97"/>
      <c r="S16" s="97"/>
      <c r="T16" s="9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</row>
    <row r="17" spans="1:195" s="46" customFormat="1" ht="13.5" thickBot="1">
      <c r="A17" s="123">
        <v>14</v>
      </c>
      <c r="B17" s="104" t="s">
        <v>274</v>
      </c>
      <c r="C17" s="128" t="s">
        <v>343</v>
      </c>
      <c r="D17" s="129" t="s">
        <v>344</v>
      </c>
      <c r="E17" s="104" t="s">
        <v>345</v>
      </c>
      <c r="F17" s="104" t="s">
        <v>307</v>
      </c>
      <c r="G17" s="104" t="s">
        <v>308</v>
      </c>
      <c r="H17" s="104" t="s">
        <v>5</v>
      </c>
      <c r="I17" s="106" t="s">
        <v>89</v>
      </c>
      <c r="J17" s="106"/>
      <c r="K17" s="106"/>
      <c r="L17" s="106"/>
      <c r="M17" s="97"/>
      <c r="N17" s="97"/>
      <c r="O17" s="97"/>
      <c r="P17" s="97"/>
      <c r="Q17" s="97"/>
      <c r="R17" s="97"/>
      <c r="S17" s="97"/>
      <c r="T17" s="9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</row>
    <row r="18" spans="1:195" s="46" customFormat="1" ht="13.5" thickBot="1">
      <c r="A18" s="123">
        <v>15</v>
      </c>
      <c r="B18" s="104" t="s">
        <v>275</v>
      </c>
      <c r="C18" s="128" t="s">
        <v>346</v>
      </c>
      <c r="D18" s="129" t="s">
        <v>347</v>
      </c>
      <c r="E18" s="104" t="s">
        <v>348</v>
      </c>
      <c r="F18" s="104" t="s">
        <v>349</v>
      </c>
      <c r="G18" s="104" t="s">
        <v>308</v>
      </c>
      <c r="H18" s="104" t="s">
        <v>5</v>
      </c>
      <c r="I18" s="106" t="s">
        <v>89</v>
      </c>
      <c r="J18" s="106"/>
      <c r="K18" s="106"/>
      <c r="L18" s="106"/>
      <c r="M18" s="97"/>
      <c r="N18" s="97"/>
      <c r="O18" s="97"/>
      <c r="P18" s="97"/>
      <c r="Q18" s="97"/>
      <c r="R18" s="97"/>
      <c r="S18" s="97"/>
      <c r="T18" s="9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</row>
    <row r="19" spans="1:195" s="46" customFormat="1" ht="13.5" thickBot="1">
      <c r="A19" s="123">
        <v>16</v>
      </c>
      <c r="B19" s="104" t="s">
        <v>276</v>
      </c>
      <c r="C19" s="128" t="s">
        <v>350</v>
      </c>
      <c r="D19" s="129" t="s">
        <v>351</v>
      </c>
      <c r="E19" s="104" t="s">
        <v>352</v>
      </c>
      <c r="F19" s="104" t="s">
        <v>307</v>
      </c>
      <c r="G19" s="104" t="s">
        <v>308</v>
      </c>
      <c r="H19" s="104" t="s">
        <v>5</v>
      </c>
      <c r="I19" s="106" t="s">
        <v>89</v>
      </c>
      <c r="J19" s="106"/>
      <c r="K19" s="106"/>
      <c r="L19" s="106"/>
      <c r="M19" s="97"/>
      <c r="N19" s="97"/>
      <c r="O19" s="97"/>
      <c r="P19" s="97"/>
      <c r="Q19" s="97"/>
      <c r="R19" s="97"/>
      <c r="S19" s="97"/>
      <c r="T19" s="9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</row>
    <row r="20" spans="1:195" s="46" customFormat="1" ht="13.5" thickBot="1">
      <c r="A20" s="123">
        <v>17</v>
      </c>
      <c r="B20" s="104" t="s">
        <v>277</v>
      </c>
      <c r="C20" s="128" t="s">
        <v>353</v>
      </c>
      <c r="D20" s="129" t="s">
        <v>354</v>
      </c>
      <c r="E20" s="104" t="s">
        <v>317</v>
      </c>
      <c r="F20" s="104" t="s">
        <v>307</v>
      </c>
      <c r="G20" s="104" t="s">
        <v>308</v>
      </c>
      <c r="H20" s="104" t="s">
        <v>5</v>
      </c>
      <c r="I20" s="106" t="s">
        <v>89</v>
      </c>
      <c r="J20" s="106" t="s">
        <v>89</v>
      </c>
      <c r="K20" s="106" t="s">
        <v>89</v>
      </c>
      <c r="L20" s="106" t="s">
        <v>89</v>
      </c>
      <c r="M20" s="97"/>
      <c r="N20" s="97"/>
      <c r="O20" s="97"/>
      <c r="P20" s="97"/>
      <c r="Q20" s="97"/>
      <c r="R20" s="97"/>
      <c r="S20" s="97"/>
      <c r="T20" s="9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</row>
    <row r="21" spans="1:195" s="46" customFormat="1" ht="13.5" thickBot="1">
      <c r="A21" s="123">
        <v>18</v>
      </c>
      <c r="B21" s="104" t="s">
        <v>278</v>
      </c>
      <c r="C21" s="128" t="s">
        <v>355</v>
      </c>
      <c r="D21" s="129" t="s">
        <v>356</v>
      </c>
      <c r="E21" s="104" t="s">
        <v>352</v>
      </c>
      <c r="F21" s="104" t="s">
        <v>307</v>
      </c>
      <c r="G21" s="104" t="s">
        <v>308</v>
      </c>
      <c r="H21" s="104" t="s">
        <v>5</v>
      </c>
      <c r="I21" s="106" t="s">
        <v>89</v>
      </c>
      <c r="J21" s="106" t="s">
        <v>89</v>
      </c>
      <c r="K21" s="106" t="s">
        <v>89</v>
      </c>
      <c r="L21" s="106"/>
      <c r="M21" s="97"/>
      <c r="N21" s="97"/>
      <c r="O21" s="97"/>
      <c r="P21" s="97"/>
      <c r="Q21" s="97"/>
      <c r="R21" s="97"/>
      <c r="S21" s="97"/>
      <c r="T21" s="9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</row>
    <row r="22" spans="1:195" s="46" customFormat="1" ht="13.5" thickBot="1">
      <c r="A22" s="123">
        <v>19</v>
      </c>
      <c r="B22" s="104" t="s">
        <v>279</v>
      </c>
      <c r="C22" s="128" t="s">
        <v>357</v>
      </c>
      <c r="D22" s="129" t="s">
        <v>33</v>
      </c>
      <c r="E22" s="104" t="s">
        <v>358</v>
      </c>
      <c r="F22" s="104" t="s">
        <v>359</v>
      </c>
      <c r="G22" s="104" t="s">
        <v>308</v>
      </c>
      <c r="H22" s="104" t="s">
        <v>5</v>
      </c>
      <c r="I22" s="106" t="s">
        <v>89</v>
      </c>
      <c r="J22" s="106"/>
      <c r="K22" s="106" t="s">
        <v>89</v>
      </c>
      <c r="L22" s="106"/>
      <c r="M22" s="97"/>
      <c r="N22" s="97"/>
      <c r="O22" s="97"/>
      <c r="P22" s="97"/>
      <c r="Q22" s="97"/>
      <c r="R22" s="97"/>
      <c r="S22" s="97"/>
      <c r="T22" s="9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</row>
    <row r="23" spans="1:195" s="46" customFormat="1" ht="13.5" thickBot="1">
      <c r="A23" s="123">
        <v>20</v>
      </c>
      <c r="B23" s="104" t="s">
        <v>280</v>
      </c>
      <c r="C23" s="128" t="s">
        <v>360</v>
      </c>
      <c r="D23" s="129" t="s">
        <v>361</v>
      </c>
      <c r="E23" s="104" t="s">
        <v>362</v>
      </c>
      <c r="F23" s="104" t="s">
        <v>363</v>
      </c>
      <c r="G23" s="104" t="s">
        <v>308</v>
      </c>
      <c r="H23" s="104" t="s">
        <v>5</v>
      </c>
      <c r="I23" s="106" t="s">
        <v>89</v>
      </c>
      <c r="J23" s="106" t="s">
        <v>89</v>
      </c>
      <c r="K23" s="106" t="s">
        <v>89</v>
      </c>
      <c r="L23" s="106"/>
      <c r="M23" s="97"/>
      <c r="N23" s="97"/>
      <c r="O23" s="97"/>
      <c r="P23" s="97"/>
      <c r="Q23" s="97"/>
      <c r="R23" s="97"/>
      <c r="S23" s="97"/>
      <c r="T23" s="9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</row>
    <row r="24" spans="1:195" s="46" customFormat="1" ht="13.5" thickBot="1">
      <c r="A24" s="123">
        <v>21</v>
      </c>
      <c r="B24" s="104" t="s">
        <v>281</v>
      </c>
      <c r="C24" s="128" t="s">
        <v>364</v>
      </c>
      <c r="D24" s="129" t="s">
        <v>365</v>
      </c>
      <c r="E24" s="104" t="s">
        <v>366</v>
      </c>
      <c r="F24" s="104" t="s">
        <v>307</v>
      </c>
      <c r="G24" s="104" t="s">
        <v>308</v>
      </c>
      <c r="H24" s="104" t="s">
        <v>5</v>
      </c>
      <c r="I24" s="106"/>
      <c r="J24" s="106"/>
      <c r="K24" s="106" t="s">
        <v>89</v>
      </c>
      <c r="L24" s="106"/>
      <c r="M24" s="97"/>
      <c r="N24" s="97"/>
      <c r="O24" s="97"/>
      <c r="P24" s="97"/>
      <c r="Q24" s="97"/>
      <c r="R24" s="97"/>
      <c r="S24" s="97"/>
      <c r="T24" s="9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</row>
    <row r="25" spans="1:195" s="46" customFormat="1" ht="13.5" thickBot="1">
      <c r="A25" s="123">
        <v>22</v>
      </c>
      <c r="B25" s="104" t="s">
        <v>282</v>
      </c>
      <c r="C25" s="128" t="s">
        <v>367</v>
      </c>
      <c r="D25" s="129" t="s">
        <v>368</v>
      </c>
      <c r="E25" s="104" t="s">
        <v>366</v>
      </c>
      <c r="F25" s="104" t="s">
        <v>307</v>
      </c>
      <c r="G25" s="104" t="s">
        <v>308</v>
      </c>
      <c r="H25" s="104" t="s">
        <v>5</v>
      </c>
      <c r="I25" s="106" t="s">
        <v>89</v>
      </c>
      <c r="J25" s="106"/>
      <c r="K25" s="106" t="s">
        <v>89</v>
      </c>
      <c r="L25" s="106"/>
      <c r="M25" s="97"/>
      <c r="N25" s="97"/>
      <c r="O25" s="97"/>
      <c r="P25" s="97"/>
      <c r="Q25" s="97"/>
      <c r="R25" s="97"/>
      <c r="S25" s="97"/>
      <c r="T25" s="9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</row>
    <row r="26" spans="1:195" s="46" customFormat="1" ht="13.5" thickBot="1">
      <c r="A26" s="123">
        <v>23</v>
      </c>
      <c r="B26" s="104" t="s">
        <v>283</v>
      </c>
      <c r="C26" s="128" t="s">
        <v>369</v>
      </c>
      <c r="D26" s="129" t="s">
        <v>370</v>
      </c>
      <c r="E26" s="104" t="s">
        <v>371</v>
      </c>
      <c r="F26" s="104" t="s">
        <v>307</v>
      </c>
      <c r="G26" s="104" t="s">
        <v>308</v>
      </c>
      <c r="H26" s="104" t="s">
        <v>5</v>
      </c>
      <c r="I26" s="106"/>
      <c r="J26" s="106" t="s">
        <v>89</v>
      </c>
      <c r="K26" s="106"/>
      <c r="L26" s="106"/>
      <c r="M26" s="97"/>
      <c r="N26" s="97"/>
      <c r="O26" s="97"/>
      <c r="P26" s="97"/>
      <c r="Q26" s="97"/>
      <c r="R26" s="97"/>
      <c r="S26" s="97"/>
      <c r="T26" s="9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</row>
    <row r="27" spans="1:195" s="46" customFormat="1" ht="13.5" thickBot="1">
      <c r="A27" s="123">
        <v>24</v>
      </c>
      <c r="B27" s="104" t="s">
        <v>284</v>
      </c>
      <c r="C27" s="128" t="s">
        <v>372</v>
      </c>
      <c r="D27" s="129" t="s">
        <v>373</v>
      </c>
      <c r="E27" s="104" t="s">
        <v>366</v>
      </c>
      <c r="F27" s="104" t="s">
        <v>307</v>
      </c>
      <c r="G27" s="104" t="s">
        <v>308</v>
      </c>
      <c r="H27" s="104" t="s">
        <v>5</v>
      </c>
      <c r="I27" s="106" t="s">
        <v>89</v>
      </c>
      <c r="J27" s="106"/>
      <c r="K27" s="106" t="s">
        <v>89</v>
      </c>
      <c r="L27" s="106"/>
      <c r="M27" s="97"/>
      <c r="N27" s="97"/>
      <c r="O27" s="97"/>
      <c r="P27" s="97"/>
      <c r="Q27" s="97"/>
      <c r="R27" s="97"/>
      <c r="S27" s="97"/>
      <c r="T27" s="9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</row>
    <row r="28" spans="1:195" s="46" customFormat="1" ht="13.5" thickBot="1">
      <c r="A28" s="123">
        <v>25</v>
      </c>
      <c r="B28" s="104" t="s">
        <v>285</v>
      </c>
      <c r="C28" s="128" t="s">
        <v>374</v>
      </c>
      <c r="D28" s="129" t="s">
        <v>375</v>
      </c>
      <c r="E28" s="104" t="s">
        <v>376</v>
      </c>
      <c r="F28" s="104" t="s">
        <v>307</v>
      </c>
      <c r="G28" s="104" t="s">
        <v>308</v>
      </c>
      <c r="H28" s="104" t="s">
        <v>5</v>
      </c>
      <c r="I28" s="106" t="s">
        <v>89</v>
      </c>
      <c r="J28" s="106"/>
      <c r="K28" s="106" t="s">
        <v>89</v>
      </c>
      <c r="L28" s="106" t="s">
        <v>89</v>
      </c>
      <c r="M28" s="97"/>
      <c r="N28" s="97"/>
      <c r="O28" s="97"/>
      <c r="P28" s="97"/>
      <c r="Q28" s="97"/>
      <c r="R28" s="97"/>
      <c r="S28" s="97"/>
      <c r="T28" s="9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</row>
    <row r="29" spans="1:195" s="46" customFormat="1" ht="13.5" thickBot="1">
      <c r="A29" s="123">
        <v>26</v>
      </c>
      <c r="B29" s="104" t="s">
        <v>286</v>
      </c>
      <c r="C29" s="128" t="s">
        <v>304</v>
      </c>
      <c r="D29" s="129" t="s">
        <v>377</v>
      </c>
      <c r="E29" s="104" t="s">
        <v>306</v>
      </c>
      <c r="F29" s="104" t="s">
        <v>307</v>
      </c>
      <c r="G29" s="104" t="s">
        <v>308</v>
      </c>
      <c r="H29" s="104" t="s">
        <v>5</v>
      </c>
      <c r="I29" s="106" t="s">
        <v>89</v>
      </c>
      <c r="J29" s="106"/>
      <c r="K29" s="106"/>
      <c r="L29" s="106"/>
      <c r="M29" s="97"/>
      <c r="N29" s="97"/>
      <c r="O29" s="97"/>
      <c r="P29" s="97"/>
      <c r="Q29" s="97"/>
      <c r="R29" s="97"/>
      <c r="S29" s="97"/>
      <c r="T29" s="9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</row>
    <row r="30" spans="1:195" s="46" customFormat="1" ht="13.5" thickBot="1">
      <c r="A30" s="123">
        <v>27</v>
      </c>
      <c r="B30" s="104" t="s">
        <v>287</v>
      </c>
      <c r="C30" s="128" t="s">
        <v>378</v>
      </c>
      <c r="D30" s="129" t="s">
        <v>132</v>
      </c>
      <c r="E30" s="104" t="s">
        <v>379</v>
      </c>
      <c r="F30" s="104" t="s">
        <v>307</v>
      </c>
      <c r="G30" s="104" t="s">
        <v>308</v>
      </c>
      <c r="H30" s="104" t="s">
        <v>5</v>
      </c>
      <c r="I30" s="106" t="s">
        <v>89</v>
      </c>
      <c r="J30" s="106" t="s">
        <v>89</v>
      </c>
      <c r="K30" s="106" t="s">
        <v>89</v>
      </c>
      <c r="L30" s="106" t="s">
        <v>89</v>
      </c>
      <c r="M30" s="97"/>
      <c r="N30" s="97"/>
      <c r="O30" s="97"/>
      <c r="P30" s="97"/>
      <c r="Q30" s="97"/>
      <c r="R30" s="97"/>
      <c r="S30" s="97"/>
      <c r="T30" s="9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</row>
    <row r="31" spans="1:195" s="46" customFormat="1" ht="13.5" thickBot="1">
      <c r="A31" s="123">
        <v>28</v>
      </c>
      <c r="B31" s="124" t="s">
        <v>288</v>
      </c>
      <c r="C31" s="128" t="s">
        <v>380</v>
      </c>
      <c r="D31" s="129" t="s">
        <v>381</v>
      </c>
      <c r="E31" s="104" t="s">
        <v>382</v>
      </c>
      <c r="F31" s="104" t="s">
        <v>383</v>
      </c>
      <c r="G31" s="104" t="s">
        <v>308</v>
      </c>
      <c r="H31" s="104" t="s">
        <v>5</v>
      </c>
      <c r="I31" s="106" t="s">
        <v>89</v>
      </c>
      <c r="J31" s="106"/>
      <c r="K31" s="106"/>
      <c r="L31" s="106"/>
      <c r="M31" s="97"/>
      <c r="N31" s="97"/>
      <c r="O31" s="97"/>
      <c r="P31" s="97"/>
      <c r="Q31" s="97"/>
      <c r="R31" s="97"/>
      <c r="S31" s="97"/>
      <c r="T31" s="9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</row>
    <row r="32" spans="1:195" s="46" customFormat="1" ht="13.5" thickBot="1">
      <c r="A32" s="123">
        <v>29</v>
      </c>
      <c r="B32" s="104" t="s">
        <v>289</v>
      </c>
      <c r="C32" s="128" t="s">
        <v>384</v>
      </c>
      <c r="D32" s="129" t="s">
        <v>385</v>
      </c>
      <c r="E32" s="104" t="s">
        <v>386</v>
      </c>
      <c r="F32" s="104" t="s">
        <v>307</v>
      </c>
      <c r="G32" s="104" t="s">
        <v>308</v>
      </c>
      <c r="H32" s="104" t="s">
        <v>5</v>
      </c>
      <c r="I32" s="106" t="s">
        <v>89</v>
      </c>
      <c r="J32" s="106"/>
      <c r="K32" s="106" t="s">
        <v>89</v>
      </c>
      <c r="L32" s="106" t="s">
        <v>89</v>
      </c>
      <c r="M32" s="97"/>
      <c r="N32" s="97"/>
      <c r="O32" s="97"/>
      <c r="P32" s="97"/>
      <c r="Q32" s="97"/>
      <c r="R32" s="97"/>
      <c r="S32" s="97"/>
      <c r="T32" s="9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</row>
    <row r="33" spans="1:195" s="46" customFormat="1" ht="13.5" thickBot="1">
      <c r="A33" s="123">
        <v>30</v>
      </c>
      <c r="B33" s="104" t="s">
        <v>290</v>
      </c>
      <c r="C33" s="128" t="s">
        <v>380</v>
      </c>
      <c r="D33" s="129" t="s">
        <v>387</v>
      </c>
      <c r="E33" s="104" t="s">
        <v>382</v>
      </c>
      <c r="F33" s="104" t="s">
        <v>383</v>
      </c>
      <c r="G33" s="104" t="s">
        <v>308</v>
      </c>
      <c r="H33" s="104" t="s">
        <v>5</v>
      </c>
      <c r="I33" s="106"/>
      <c r="J33" s="106"/>
      <c r="K33" s="106"/>
      <c r="L33" s="106" t="s">
        <v>89</v>
      </c>
      <c r="M33" s="97"/>
      <c r="N33" s="97"/>
      <c r="O33" s="97"/>
      <c r="P33" s="97"/>
      <c r="Q33" s="97"/>
      <c r="R33" s="97"/>
      <c r="S33" s="97"/>
      <c r="T33" s="9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</row>
    <row r="34" spans="1:195" s="46" customFormat="1" ht="13.5" thickBot="1">
      <c r="A34" s="123">
        <v>31</v>
      </c>
      <c r="B34" s="104" t="s">
        <v>291</v>
      </c>
      <c r="C34" s="128" t="s">
        <v>388</v>
      </c>
      <c r="D34" s="129" t="s">
        <v>142</v>
      </c>
      <c r="E34" s="104" t="s">
        <v>371</v>
      </c>
      <c r="F34" s="104" t="s">
        <v>307</v>
      </c>
      <c r="G34" s="104" t="s">
        <v>308</v>
      </c>
      <c r="H34" s="104" t="s">
        <v>5</v>
      </c>
      <c r="I34" s="106"/>
      <c r="J34" s="106"/>
      <c r="K34" s="106"/>
      <c r="L34" s="106" t="s">
        <v>89</v>
      </c>
      <c r="M34" s="97"/>
      <c r="N34" s="97"/>
      <c r="O34" s="97"/>
      <c r="P34" s="97"/>
      <c r="Q34" s="97"/>
      <c r="R34" s="97"/>
      <c r="S34" s="97"/>
      <c r="T34" s="9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</row>
    <row r="35" spans="1:195" s="46" customFormat="1" ht="13.5" thickBot="1">
      <c r="A35" s="123">
        <v>32</v>
      </c>
      <c r="B35" s="104" t="s">
        <v>292</v>
      </c>
      <c r="C35" s="128" t="s">
        <v>389</v>
      </c>
      <c r="D35" s="129" t="s">
        <v>390</v>
      </c>
      <c r="E35" s="104" t="s">
        <v>382</v>
      </c>
      <c r="F35" s="104" t="s">
        <v>383</v>
      </c>
      <c r="G35" s="104" t="s">
        <v>308</v>
      </c>
      <c r="H35" s="104" t="s">
        <v>5</v>
      </c>
      <c r="I35" s="106" t="s">
        <v>89</v>
      </c>
      <c r="J35" s="106"/>
      <c r="K35" s="106"/>
      <c r="L35" s="106"/>
      <c r="M35" s="97"/>
      <c r="N35" s="97"/>
      <c r="O35" s="97"/>
      <c r="P35" s="97"/>
      <c r="Q35" s="97"/>
      <c r="R35" s="97"/>
      <c r="S35" s="97"/>
      <c r="T35" s="9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</row>
    <row r="36" spans="1:195" s="46" customFormat="1" ht="13.5" thickBot="1">
      <c r="A36" s="123">
        <v>33</v>
      </c>
      <c r="B36" s="104" t="s">
        <v>293</v>
      </c>
      <c r="C36" s="128" t="s">
        <v>360</v>
      </c>
      <c r="D36" s="129" t="s">
        <v>391</v>
      </c>
      <c r="E36" s="104" t="s">
        <v>362</v>
      </c>
      <c r="F36" s="104" t="s">
        <v>363</v>
      </c>
      <c r="G36" s="104" t="s">
        <v>308</v>
      </c>
      <c r="H36" s="104" t="s">
        <v>5</v>
      </c>
      <c r="I36" s="106" t="s">
        <v>89</v>
      </c>
      <c r="J36" s="106"/>
      <c r="K36" s="106"/>
      <c r="L36" s="106"/>
      <c r="M36" s="97"/>
      <c r="N36" s="97"/>
      <c r="O36" s="97"/>
      <c r="P36" s="97"/>
      <c r="Q36" s="97"/>
      <c r="R36" s="97"/>
      <c r="S36" s="97"/>
      <c r="T36" s="9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</row>
    <row r="37" spans="1:195" s="46" customFormat="1" ht="13.5" thickBot="1">
      <c r="A37" s="46">
        <v>34</v>
      </c>
      <c r="B37" s="104" t="s">
        <v>294</v>
      </c>
      <c r="C37" s="128" t="s">
        <v>392</v>
      </c>
      <c r="D37" s="129" t="s">
        <v>393</v>
      </c>
      <c r="E37" s="104" t="s">
        <v>311</v>
      </c>
      <c r="F37" s="104" t="s">
        <v>307</v>
      </c>
      <c r="G37" s="104" t="s">
        <v>308</v>
      </c>
      <c r="H37" s="104" t="s">
        <v>5</v>
      </c>
      <c r="I37" s="106" t="s">
        <v>89</v>
      </c>
      <c r="J37" s="106"/>
      <c r="K37" s="106" t="s">
        <v>89</v>
      </c>
      <c r="L37" s="106" t="s">
        <v>89</v>
      </c>
      <c r="M37" s="97"/>
      <c r="N37" s="97"/>
      <c r="O37" s="97"/>
      <c r="P37" s="97"/>
      <c r="Q37" s="97"/>
      <c r="R37" s="97"/>
      <c r="S37" s="97"/>
      <c r="T37" s="9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</row>
    <row r="38" spans="1:195" s="46" customFormat="1" ht="13.5" thickBot="1">
      <c r="A38" s="46">
        <v>35</v>
      </c>
      <c r="B38" s="104" t="s">
        <v>295</v>
      </c>
      <c r="C38" s="128" t="s">
        <v>394</v>
      </c>
      <c r="D38" s="129" t="s">
        <v>395</v>
      </c>
      <c r="E38" s="104" t="s">
        <v>396</v>
      </c>
      <c r="F38" s="104" t="s">
        <v>307</v>
      </c>
      <c r="G38" s="104" t="s">
        <v>308</v>
      </c>
      <c r="H38" s="104" t="s">
        <v>5</v>
      </c>
      <c r="I38" s="106" t="s">
        <v>89</v>
      </c>
      <c r="J38" s="106"/>
      <c r="K38" s="106" t="s">
        <v>89</v>
      </c>
      <c r="L38" s="106" t="s">
        <v>89</v>
      </c>
      <c r="M38" s="97"/>
      <c r="N38" s="97"/>
      <c r="O38" s="97"/>
      <c r="P38" s="97"/>
      <c r="Q38" s="97"/>
      <c r="R38" s="97"/>
      <c r="S38" s="97"/>
      <c r="T38" s="9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</row>
    <row r="39" spans="1:195" s="46" customFormat="1" ht="13.5" thickBot="1">
      <c r="A39" s="46">
        <v>36</v>
      </c>
      <c r="B39" s="104" t="s">
        <v>296</v>
      </c>
      <c r="C39" s="128" t="s">
        <v>397</v>
      </c>
      <c r="D39" s="129" t="s">
        <v>398</v>
      </c>
      <c r="E39" s="104" t="s">
        <v>342</v>
      </c>
      <c r="F39" s="104" t="s">
        <v>307</v>
      </c>
      <c r="G39" s="104" t="s">
        <v>308</v>
      </c>
      <c r="H39" s="104" t="s">
        <v>5</v>
      </c>
      <c r="I39" s="106" t="s">
        <v>89</v>
      </c>
      <c r="J39" s="106"/>
      <c r="K39" s="106"/>
      <c r="L39" s="106"/>
      <c r="M39" s="97"/>
      <c r="N39" s="97"/>
      <c r="O39" s="97"/>
      <c r="P39" s="97"/>
      <c r="Q39" s="97"/>
      <c r="R39" s="97"/>
      <c r="S39" s="97"/>
      <c r="T39" s="9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</row>
    <row r="40" spans="1:195" s="46" customFormat="1" ht="13.5" thickBot="1">
      <c r="A40" s="46">
        <v>37</v>
      </c>
      <c r="B40" s="104" t="s">
        <v>297</v>
      </c>
      <c r="C40" s="128" t="s">
        <v>399</v>
      </c>
      <c r="D40" s="129" t="s">
        <v>400</v>
      </c>
      <c r="E40" s="104" t="s">
        <v>401</v>
      </c>
      <c r="F40" s="104" t="s">
        <v>307</v>
      </c>
      <c r="G40" s="104" t="s">
        <v>308</v>
      </c>
      <c r="H40" s="104" t="s">
        <v>5</v>
      </c>
      <c r="I40" s="106"/>
      <c r="J40" s="106"/>
      <c r="K40" s="106"/>
      <c r="L40" s="106" t="s">
        <v>89</v>
      </c>
      <c r="M40" s="97"/>
      <c r="N40" s="97"/>
      <c r="O40" s="97"/>
      <c r="P40" s="97"/>
      <c r="Q40" s="97"/>
      <c r="R40" s="97"/>
      <c r="S40" s="97"/>
      <c r="T40" s="9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</row>
    <row r="41" spans="1:195" s="46" customFormat="1" ht="13.5" thickBot="1">
      <c r="A41" s="46">
        <v>38</v>
      </c>
      <c r="B41" s="104" t="s">
        <v>298</v>
      </c>
      <c r="C41" s="128" t="s">
        <v>402</v>
      </c>
      <c r="D41" s="129" t="s">
        <v>403</v>
      </c>
      <c r="E41" s="104" t="s">
        <v>404</v>
      </c>
      <c r="F41" s="104" t="s">
        <v>405</v>
      </c>
      <c r="G41" s="104" t="s">
        <v>308</v>
      </c>
      <c r="H41" s="104" t="s">
        <v>5</v>
      </c>
      <c r="I41" s="106" t="s">
        <v>89</v>
      </c>
      <c r="J41" s="106" t="s">
        <v>89</v>
      </c>
      <c r="K41" s="106"/>
      <c r="L41" s="106" t="s">
        <v>89</v>
      </c>
      <c r="M41" s="97"/>
      <c r="N41" s="97"/>
      <c r="O41" s="97"/>
      <c r="P41" s="97"/>
      <c r="Q41" s="97"/>
      <c r="R41" s="97"/>
      <c r="S41" s="97"/>
      <c r="T41" s="9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</row>
    <row r="42" spans="1:195" s="46" customFormat="1" ht="13.5" thickBot="1">
      <c r="A42" s="46">
        <v>39</v>
      </c>
      <c r="B42" s="104" t="s">
        <v>299</v>
      </c>
      <c r="C42" s="128" t="s">
        <v>406</v>
      </c>
      <c r="D42" s="129" t="s">
        <v>407</v>
      </c>
      <c r="E42" s="104" t="s">
        <v>338</v>
      </c>
      <c r="F42" s="104" t="s">
        <v>339</v>
      </c>
      <c r="G42" s="104" t="s">
        <v>308</v>
      </c>
      <c r="H42" s="104" t="s">
        <v>5</v>
      </c>
      <c r="I42" s="106" t="s">
        <v>89</v>
      </c>
      <c r="J42" s="106"/>
      <c r="K42" s="106"/>
      <c r="L42" s="106"/>
      <c r="M42" s="97"/>
      <c r="N42" s="97"/>
      <c r="O42" s="97"/>
      <c r="P42" s="97"/>
      <c r="Q42" s="97"/>
      <c r="R42" s="97"/>
      <c r="S42" s="97"/>
      <c r="T42" s="9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</row>
    <row r="43" spans="1:195" s="46" customFormat="1" ht="13.5" thickBot="1">
      <c r="A43" s="46">
        <v>40</v>
      </c>
      <c r="B43" s="104" t="s">
        <v>300</v>
      </c>
      <c r="C43" s="128" t="s">
        <v>408</v>
      </c>
      <c r="D43" s="129" t="s">
        <v>409</v>
      </c>
      <c r="E43" s="104" t="s">
        <v>410</v>
      </c>
      <c r="F43" s="104" t="s">
        <v>411</v>
      </c>
      <c r="G43" s="104" t="s">
        <v>308</v>
      </c>
      <c r="H43" s="104" t="s">
        <v>5</v>
      </c>
      <c r="I43" s="106" t="s">
        <v>89</v>
      </c>
      <c r="J43" s="106" t="s">
        <v>89</v>
      </c>
      <c r="K43" s="106" t="s">
        <v>89</v>
      </c>
      <c r="L43" s="106" t="s">
        <v>89</v>
      </c>
      <c r="M43" s="97"/>
      <c r="N43" s="97"/>
      <c r="O43" s="97"/>
      <c r="P43" s="97"/>
      <c r="Q43" s="97"/>
      <c r="R43" s="97"/>
      <c r="S43" s="97"/>
      <c r="T43" s="9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</row>
    <row r="44" spans="1:195" s="46" customFormat="1" ht="13.5" thickBot="1">
      <c r="A44" s="46">
        <v>41</v>
      </c>
      <c r="B44" s="104" t="s">
        <v>301</v>
      </c>
      <c r="C44" s="128" t="s">
        <v>412</v>
      </c>
      <c r="D44" s="129" t="s">
        <v>413</v>
      </c>
      <c r="E44" s="104" t="s">
        <v>317</v>
      </c>
      <c r="F44" s="104" t="s">
        <v>307</v>
      </c>
      <c r="G44" s="104" t="s">
        <v>308</v>
      </c>
      <c r="H44" s="104" t="s">
        <v>5</v>
      </c>
      <c r="I44" s="106" t="s">
        <v>89</v>
      </c>
      <c r="J44" s="106" t="s">
        <v>89</v>
      </c>
      <c r="K44" s="106" t="s">
        <v>89</v>
      </c>
      <c r="L44" s="106" t="s">
        <v>89</v>
      </c>
      <c r="M44" s="97"/>
      <c r="N44" s="97"/>
      <c r="O44" s="97"/>
      <c r="P44" s="97"/>
      <c r="Q44" s="97"/>
      <c r="R44" s="97"/>
      <c r="S44" s="97"/>
      <c r="T44" s="9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</row>
    <row r="45" spans="1:195" s="46" customFormat="1" ht="13.5" thickBot="1">
      <c r="A45" s="46">
        <v>42</v>
      </c>
      <c r="B45" s="104" t="s">
        <v>302</v>
      </c>
      <c r="C45" s="128" t="s">
        <v>414</v>
      </c>
      <c r="D45" s="129" t="s">
        <v>415</v>
      </c>
      <c r="E45" s="104" t="s">
        <v>362</v>
      </c>
      <c r="F45" s="104" t="s">
        <v>363</v>
      </c>
      <c r="G45" s="104" t="s">
        <v>308</v>
      </c>
      <c r="H45" s="104" t="s">
        <v>5</v>
      </c>
      <c r="I45" s="106" t="s">
        <v>89</v>
      </c>
      <c r="J45" s="106"/>
      <c r="K45" s="106" t="s">
        <v>89</v>
      </c>
      <c r="L45" s="106"/>
      <c r="M45" s="97"/>
      <c r="N45" s="97"/>
      <c r="O45" s="97"/>
      <c r="P45" s="97"/>
      <c r="Q45" s="97"/>
      <c r="R45" s="97"/>
      <c r="S45" s="97"/>
      <c r="T45" s="9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</row>
    <row r="46" spans="1:195" s="46" customFormat="1" ht="13.5" thickBot="1">
      <c r="A46" s="46">
        <v>43</v>
      </c>
      <c r="B46" s="104" t="s">
        <v>303</v>
      </c>
      <c r="C46" s="128" t="s">
        <v>416</v>
      </c>
      <c r="D46" s="129" t="s">
        <v>417</v>
      </c>
      <c r="E46" s="104" t="s">
        <v>379</v>
      </c>
      <c r="F46" s="104" t="s">
        <v>307</v>
      </c>
      <c r="G46" s="104" t="s">
        <v>308</v>
      </c>
      <c r="H46" s="104" t="s">
        <v>5</v>
      </c>
      <c r="I46" s="106" t="s">
        <v>89</v>
      </c>
      <c r="J46" s="106"/>
      <c r="K46" s="106"/>
      <c r="L46" s="106" t="s">
        <v>89</v>
      </c>
      <c r="M46" s="97"/>
      <c r="N46" s="97"/>
      <c r="O46" s="97"/>
      <c r="P46" s="97"/>
      <c r="Q46" s="97"/>
      <c r="R46" s="97"/>
      <c r="S46" s="97"/>
      <c r="T46" s="9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</row>
    <row r="47" spans="1:195" s="46" customFormat="1" ht="13.5" thickBot="1">
      <c r="A47" s="46">
        <v>44</v>
      </c>
      <c r="B47" s="104" t="s">
        <v>418</v>
      </c>
      <c r="C47" s="128" t="s">
        <v>419</v>
      </c>
      <c r="D47" s="129" t="s">
        <v>420</v>
      </c>
      <c r="E47" s="104" t="s">
        <v>362</v>
      </c>
      <c r="F47" s="104" t="s">
        <v>363</v>
      </c>
      <c r="G47" s="104" t="s">
        <v>308</v>
      </c>
      <c r="H47" s="104" t="s">
        <v>5</v>
      </c>
      <c r="I47" s="106" t="s">
        <v>89</v>
      </c>
      <c r="J47" s="106" t="s">
        <v>89</v>
      </c>
      <c r="K47" s="106" t="s">
        <v>89</v>
      </c>
      <c r="L47" s="106" t="s">
        <v>89</v>
      </c>
      <c r="M47" s="97"/>
      <c r="N47" s="97"/>
      <c r="O47" s="97"/>
      <c r="P47" s="97"/>
      <c r="Q47" s="97"/>
      <c r="R47" s="97"/>
      <c r="S47" s="97"/>
      <c r="T47" s="9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</row>
    <row r="48" spans="1:195" s="46" customFormat="1" ht="13.5" thickBot="1">
      <c r="A48" s="46">
        <v>45</v>
      </c>
      <c r="B48" s="104" t="s">
        <v>421</v>
      </c>
      <c r="C48" s="128" t="s">
        <v>422</v>
      </c>
      <c r="D48" s="129" t="s">
        <v>423</v>
      </c>
      <c r="E48" s="104" t="s">
        <v>424</v>
      </c>
      <c r="F48" s="104" t="s">
        <v>307</v>
      </c>
      <c r="G48" s="104" t="s">
        <v>308</v>
      </c>
      <c r="H48" s="104" t="s">
        <v>5</v>
      </c>
      <c r="I48" s="106" t="s">
        <v>89</v>
      </c>
      <c r="J48" s="106"/>
      <c r="K48" s="106"/>
      <c r="L48" s="106"/>
      <c r="M48" s="97"/>
      <c r="N48" s="97"/>
      <c r="O48" s="97"/>
      <c r="P48" s="97"/>
      <c r="Q48" s="97"/>
      <c r="R48" s="97"/>
      <c r="S48" s="97"/>
      <c r="T48" s="9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</row>
    <row r="49" spans="1:195" s="46" customFormat="1" ht="13.5" thickBot="1">
      <c r="A49" s="46">
        <v>46</v>
      </c>
      <c r="B49" s="104" t="s">
        <v>425</v>
      </c>
      <c r="C49" s="128" t="s">
        <v>426</v>
      </c>
      <c r="D49" s="129" t="s">
        <v>427</v>
      </c>
      <c r="E49" s="104" t="s">
        <v>428</v>
      </c>
      <c r="F49" s="104" t="s">
        <v>429</v>
      </c>
      <c r="G49" s="104" t="s">
        <v>308</v>
      </c>
      <c r="H49" s="104" t="s">
        <v>5</v>
      </c>
      <c r="I49" s="106" t="s">
        <v>89</v>
      </c>
      <c r="J49" s="106"/>
      <c r="K49" s="106" t="s">
        <v>89</v>
      </c>
      <c r="L49" s="106" t="s">
        <v>89</v>
      </c>
      <c r="M49" s="97"/>
      <c r="N49" s="97"/>
      <c r="O49" s="97"/>
      <c r="P49" s="97"/>
      <c r="Q49" s="97"/>
      <c r="R49" s="97"/>
      <c r="S49" s="97"/>
      <c r="T49" s="9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</row>
    <row r="50" spans="1:195" s="46" customFormat="1" ht="13.5" thickBot="1">
      <c r="A50" s="46">
        <v>47</v>
      </c>
      <c r="B50" s="104" t="s">
        <v>430</v>
      </c>
      <c r="C50" s="128" t="s">
        <v>431</v>
      </c>
      <c r="D50" s="129" t="s">
        <v>432</v>
      </c>
      <c r="E50" s="104" t="s">
        <v>317</v>
      </c>
      <c r="F50" s="104" t="s">
        <v>307</v>
      </c>
      <c r="G50" s="104" t="s">
        <v>308</v>
      </c>
      <c r="H50" s="104" t="s">
        <v>5</v>
      </c>
      <c r="I50" s="106" t="s">
        <v>89</v>
      </c>
      <c r="J50" s="106"/>
      <c r="K50" s="106" t="s">
        <v>89</v>
      </c>
      <c r="L50" s="106" t="s">
        <v>89</v>
      </c>
      <c r="M50" s="97"/>
      <c r="N50" s="97"/>
      <c r="O50" s="97"/>
      <c r="P50" s="97"/>
      <c r="Q50" s="97"/>
      <c r="R50" s="97"/>
      <c r="S50" s="97"/>
      <c r="T50" s="9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</row>
    <row r="51" spans="1:195" s="46" customFormat="1" ht="13.5" thickBot="1">
      <c r="A51" s="46">
        <v>48</v>
      </c>
      <c r="B51" s="104" t="s">
        <v>433</v>
      </c>
      <c r="C51" s="128" t="s">
        <v>434</v>
      </c>
      <c r="D51" s="129" t="s">
        <v>435</v>
      </c>
      <c r="E51" s="104" t="s">
        <v>410</v>
      </c>
      <c r="F51" s="104" t="s">
        <v>411</v>
      </c>
      <c r="G51" s="104" t="s">
        <v>308</v>
      </c>
      <c r="H51" s="104" t="s">
        <v>5</v>
      </c>
      <c r="I51" s="106" t="s">
        <v>89</v>
      </c>
      <c r="J51" s="106"/>
      <c r="K51" s="106" t="s">
        <v>89</v>
      </c>
      <c r="L51" s="106" t="s">
        <v>89</v>
      </c>
      <c r="M51" s="97"/>
      <c r="N51" s="97"/>
      <c r="O51" s="97"/>
      <c r="P51" s="97"/>
      <c r="Q51" s="97"/>
      <c r="R51" s="97"/>
      <c r="S51" s="97"/>
      <c r="T51" s="9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</row>
    <row r="52" spans="1:195" s="46" customFormat="1" ht="13.5" thickBot="1">
      <c r="A52" s="46">
        <v>49</v>
      </c>
      <c r="B52" s="104" t="s">
        <v>436</v>
      </c>
      <c r="C52" s="128" t="s">
        <v>437</v>
      </c>
      <c r="D52" s="129" t="s">
        <v>438</v>
      </c>
      <c r="E52" s="104" t="s">
        <v>439</v>
      </c>
      <c r="F52" s="104" t="s">
        <v>307</v>
      </c>
      <c r="G52" s="104" t="s">
        <v>308</v>
      </c>
      <c r="H52" s="104" t="s">
        <v>5</v>
      </c>
      <c r="I52" s="106" t="s">
        <v>89</v>
      </c>
      <c r="J52" s="106"/>
      <c r="K52" s="106" t="s">
        <v>89</v>
      </c>
      <c r="L52" s="106"/>
      <c r="M52" s="97"/>
      <c r="N52" s="97"/>
      <c r="O52" s="97"/>
      <c r="P52" s="97"/>
      <c r="Q52" s="97"/>
      <c r="R52" s="97"/>
      <c r="S52" s="97"/>
      <c r="T52" s="9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</row>
    <row r="53" spans="1:195" s="46" customFormat="1" ht="13.5" thickBot="1">
      <c r="A53" s="46">
        <v>50</v>
      </c>
      <c r="B53" s="104" t="s">
        <v>440</v>
      </c>
      <c r="C53" s="128" t="s">
        <v>441</v>
      </c>
      <c r="D53" s="129" t="s">
        <v>442</v>
      </c>
      <c r="E53" s="104" t="s">
        <v>382</v>
      </c>
      <c r="F53" s="104" t="s">
        <v>383</v>
      </c>
      <c r="G53" s="104" t="s">
        <v>308</v>
      </c>
      <c r="H53" s="104" t="s">
        <v>5</v>
      </c>
      <c r="I53" s="106"/>
      <c r="J53" s="106"/>
      <c r="K53" s="106" t="s">
        <v>89</v>
      </c>
      <c r="L53" s="106"/>
      <c r="M53" s="97"/>
      <c r="N53" s="97"/>
      <c r="O53" s="97"/>
      <c r="P53" s="97"/>
      <c r="Q53" s="97"/>
      <c r="R53" s="97"/>
      <c r="S53" s="97"/>
      <c r="T53" s="9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</row>
    <row r="54" spans="1:195" s="46" customFormat="1" ht="13.5" thickBot="1">
      <c r="A54" s="46">
        <v>51</v>
      </c>
      <c r="B54" s="104" t="s">
        <v>443</v>
      </c>
      <c r="C54" s="128" t="s">
        <v>444</v>
      </c>
      <c r="D54" s="129" t="s">
        <v>445</v>
      </c>
      <c r="E54" s="104" t="s">
        <v>317</v>
      </c>
      <c r="F54" s="104" t="s">
        <v>307</v>
      </c>
      <c r="G54" s="104" t="s">
        <v>308</v>
      </c>
      <c r="H54" s="104" t="s">
        <v>5</v>
      </c>
      <c r="I54" s="106" t="s">
        <v>89</v>
      </c>
      <c r="J54" s="106"/>
      <c r="K54" s="106" t="s">
        <v>89</v>
      </c>
      <c r="L54" s="106" t="s">
        <v>89</v>
      </c>
      <c r="M54" s="97"/>
      <c r="N54" s="97"/>
      <c r="O54" s="97"/>
      <c r="P54" s="97"/>
      <c r="Q54" s="97"/>
      <c r="R54" s="97"/>
      <c r="S54" s="97"/>
      <c r="T54" s="9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</row>
    <row r="55" spans="1:195" s="46" customFormat="1" ht="13.5" thickBot="1">
      <c r="A55" s="46">
        <v>52</v>
      </c>
      <c r="B55" s="104" t="s">
        <v>446</v>
      </c>
      <c r="C55" s="128" t="s">
        <v>447</v>
      </c>
      <c r="D55" s="129" t="s">
        <v>448</v>
      </c>
      <c r="E55" s="104" t="s">
        <v>320</v>
      </c>
      <c r="F55" s="104" t="s">
        <v>307</v>
      </c>
      <c r="G55" s="104" t="s">
        <v>308</v>
      </c>
      <c r="H55" s="104" t="s">
        <v>5</v>
      </c>
      <c r="I55" s="106" t="s">
        <v>89</v>
      </c>
      <c r="J55" s="106"/>
      <c r="K55" s="106"/>
      <c r="L55" s="106"/>
      <c r="M55" s="97"/>
      <c r="N55" s="97"/>
      <c r="O55" s="97"/>
      <c r="P55" s="97"/>
      <c r="Q55" s="97"/>
      <c r="R55" s="97"/>
      <c r="S55" s="97"/>
      <c r="T55" s="9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</row>
    <row r="56" spans="1:195" s="46" customFormat="1" ht="13.5" thickBot="1">
      <c r="A56" s="46">
        <v>53</v>
      </c>
      <c r="B56" s="104" t="s">
        <v>449</v>
      </c>
      <c r="C56" s="128" t="s">
        <v>450</v>
      </c>
      <c r="D56" s="129" t="s">
        <v>448</v>
      </c>
      <c r="E56" s="104" t="s">
        <v>329</v>
      </c>
      <c r="F56" s="104" t="s">
        <v>307</v>
      </c>
      <c r="G56" s="104" t="s">
        <v>308</v>
      </c>
      <c r="H56" s="104" t="s">
        <v>5</v>
      </c>
      <c r="I56" s="106" t="s">
        <v>89</v>
      </c>
      <c r="J56" s="106"/>
      <c r="K56" s="106" t="s">
        <v>89</v>
      </c>
      <c r="L56" s="106" t="s">
        <v>89</v>
      </c>
      <c r="M56" s="97"/>
      <c r="N56" s="97"/>
      <c r="O56" s="97"/>
      <c r="P56" s="97"/>
      <c r="Q56" s="97"/>
      <c r="R56" s="97"/>
      <c r="S56" s="97"/>
      <c r="T56" s="9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</row>
    <row r="57" spans="1:195" s="46" customFormat="1" ht="13.5" thickBot="1">
      <c r="A57" s="46">
        <v>54</v>
      </c>
      <c r="B57" s="104" t="s">
        <v>451</v>
      </c>
      <c r="C57" s="128" t="s">
        <v>452</v>
      </c>
      <c r="D57" s="129" t="s">
        <v>453</v>
      </c>
      <c r="E57" s="125" t="s">
        <v>454</v>
      </c>
      <c r="F57" s="104" t="s">
        <v>429</v>
      </c>
      <c r="G57" s="104" t="s">
        <v>308</v>
      </c>
      <c r="H57" s="104" t="s">
        <v>5</v>
      </c>
      <c r="I57" s="106" t="s">
        <v>89</v>
      </c>
      <c r="J57" s="106"/>
      <c r="K57" s="106"/>
      <c r="L57" s="106"/>
      <c r="M57" s="97"/>
      <c r="N57" s="97"/>
      <c r="O57" s="97"/>
      <c r="P57" s="97"/>
      <c r="Q57" s="97"/>
      <c r="R57" s="97"/>
      <c r="S57" s="97"/>
      <c r="T57" s="9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</row>
    <row r="58" spans="1:195" s="46" customFormat="1" ht="13.5" thickBot="1">
      <c r="A58" s="46">
        <v>55</v>
      </c>
      <c r="B58" s="104" t="s">
        <v>455</v>
      </c>
      <c r="C58" s="128" t="s">
        <v>456</v>
      </c>
      <c r="D58" s="129" t="s">
        <v>219</v>
      </c>
      <c r="E58" s="104" t="s">
        <v>457</v>
      </c>
      <c r="F58" s="104" t="s">
        <v>307</v>
      </c>
      <c r="G58" s="104" t="s">
        <v>308</v>
      </c>
      <c r="H58" s="104" t="s">
        <v>5</v>
      </c>
      <c r="I58" s="106" t="s">
        <v>89</v>
      </c>
      <c r="J58" s="106"/>
      <c r="K58" s="106"/>
      <c r="L58" s="106"/>
      <c r="M58" s="97"/>
      <c r="N58" s="97"/>
      <c r="O58" s="97"/>
      <c r="P58" s="97"/>
      <c r="Q58" s="97"/>
      <c r="R58" s="97"/>
      <c r="S58" s="97"/>
      <c r="T58" s="9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</row>
    <row r="59" spans="1:195" s="46" customFormat="1" ht="13.5" thickBot="1">
      <c r="A59" s="46">
        <v>56</v>
      </c>
      <c r="B59" s="104" t="s">
        <v>458</v>
      </c>
      <c r="C59" s="128" t="s">
        <v>459</v>
      </c>
      <c r="D59" s="129" t="s">
        <v>132</v>
      </c>
      <c r="E59" s="104" t="s">
        <v>460</v>
      </c>
      <c r="F59" s="104" t="s">
        <v>307</v>
      </c>
      <c r="G59" s="104" t="s">
        <v>308</v>
      </c>
      <c r="H59" s="104" t="s">
        <v>5</v>
      </c>
      <c r="I59" s="106" t="s">
        <v>89</v>
      </c>
      <c r="J59" s="106"/>
      <c r="K59" s="106" t="s">
        <v>89</v>
      </c>
      <c r="L59" s="106"/>
      <c r="M59" s="97"/>
      <c r="N59" s="97"/>
      <c r="O59" s="97"/>
      <c r="P59" s="97"/>
      <c r="Q59" s="97"/>
      <c r="R59" s="97"/>
      <c r="S59" s="97"/>
      <c r="T59" s="9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</row>
    <row r="60" spans="1:195" s="46" customFormat="1" ht="13.5" thickBot="1">
      <c r="A60" s="46">
        <v>57</v>
      </c>
      <c r="B60" s="104" t="s">
        <v>461</v>
      </c>
      <c r="C60" s="128" t="s">
        <v>462</v>
      </c>
      <c r="D60" s="129" t="s">
        <v>463</v>
      </c>
      <c r="E60" s="104" t="s">
        <v>338</v>
      </c>
      <c r="F60" s="104" t="s">
        <v>339</v>
      </c>
      <c r="G60" s="104" t="s">
        <v>308</v>
      </c>
      <c r="H60" s="104" t="s">
        <v>5</v>
      </c>
      <c r="I60" s="106" t="s">
        <v>89</v>
      </c>
      <c r="J60" s="106"/>
      <c r="K60" s="106"/>
      <c r="L60" s="106"/>
      <c r="M60" s="97"/>
      <c r="N60" s="97"/>
      <c r="O60" s="97"/>
      <c r="P60" s="97"/>
      <c r="Q60" s="97"/>
      <c r="R60" s="97"/>
      <c r="S60" s="97"/>
      <c r="T60" s="9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</row>
    <row r="61" spans="1:195" s="46" customFormat="1" ht="13.5" thickBot="1">
      <c r="A61" s="46">
        <v>58</v>
      </c>
      <c r="B61" s="104" t="s">
        <v>464</v>
      </c>
      <c r="C61" s="128" t="s">
        <v>465</v>
      </c>
      <c r="D61" s="129" t="s">
        <v>466</v>
      </c>
      <c r="E61" s="104" t="s">
        <v>314</v>
      </c>
      <c r="F61" s="104" t="s">
        <v>307</v>
      </c>
      <c r="G61" s="104" t="s">
        <v>308</v>
      </c>
      <c r="H61" s="104" t="s">
        <v>5</v>
      </c>
      <c r="I61" s="106"/>
      <c r="J61" s="106"/>
      <c r="K61" s="106" t="s">
        <v>89</v>
      </c>
      <c r="L61" s="106" t="s">
        <v>89</v>
      </c>
      <c r="M61" s="97"/>
      <c r="N61" s="97"/>
      <c r="O61" s="97"/>
      <c r="P61" s="97"/>
      <c r="Q61" s="97"/>
      <c r="R61" s="97"/>
      <c r="S61" s="97"/>
      <c r="T61" s="9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</row>
    <row r="62" spans="1:195" s="46" customFormat="1" ht="13.5" thickBot="1">
      <c r="A62" s="46">
        <v>59</v>
      </c>
      <c r="B62" s="104" t="s">
        <v>467</v>
      </c>
      <c r="C62" s="128" t="s">
        <v>468</v>
      </c>
      <c r="D62" s="129" t="s">
        <v>469</v>
      </c>
      <c r="E62" s="104" t="s">
        <v>470</v>
      </c>
      <c r="F62" s="104" t="s">
        <v>307</v>
      </c>
      <c r="G62" s="104" t="s">
        <v>308</v>
      </c>
      <c r="H62" s="104" t="s">
        <v>5</v>
      </c>
      <c r="I62" s="106" t="s">
        <v>89</v>
      </c>
      <c r="J62" s="106"/>
      <c r="K62" s="106"/>
      <c r="L62" s="106"/>
      <c r="M62" s="97"/>
      <c r="N62" s="97"/>
      <c r="O62" s="97"/>
      <c r="P62" s="97"/>
      <c r="Q62" s="97"/>
      <c r="R62" s="97"/>
      <c r="S62" s="97"/>
      <c r="T62" s="9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</row>
    <row r="63" spans="1:195" s="46" customFormat="1" ht="13.5" thickBot="1">
      <c r="A63" s="46">
        <v>60</v>
      </c>
      <c r="B63" s="104" t="s">
        <v>471</v>
      </c>
      <c r="C63" s="128" t="s">
        <v>472</v>
      </c>
      <c r="D63" s="129" t="s">
        <v>473</v>
      </c>
      <c r="E63" s="104" t="s">
        <v>352</v>
      </c>
      <c r="F63" s="104" t="s">
        <v>307</v>
      </c>
      <c r="G63" s="104" t="s">
        <v>308</v>
      </c>
      <c r="H63" s="104" t="s">
        <v>5</v>
      </c>
      <c r="I63" s="106" t="s">
        <v>89</v>
      </c>
      <c r="J63" s="106"/>
      <c r="K63" s="106"/>
      <c r="L63" s="106" t="s">
        <v>89</v>
      </c>
      <c r="M63" s="97"/>
      <c r="N63" s="97"/>
      <c r="O63" s="97"/>
      <c r="P63" s="97"/>
      <c r="Q63" s="97"/>
      <c r="R63" s="97"/>
      <c r="S63" s="97"/>
      <c r="T63" s="9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</row>
    <row r="64" spans="1:195" s="46" customFormat="1" ht="13.5" thickBot="1">
      <c r="C64" s="59"/>
      <c r="D64" s="59"/>
      <c r="E64" s="59"/>
      <c r="F64" s="59"/>
      <c r="G64" s="59"/>
      <c r="H64" s="50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</row>
    <row r="65" spans="2:195" s="61" customFormat="1" ht="12" customHeight="1" thickBot="1">
      <c r="B65" s="58" t="s">
        <v>475</v>
      </c>
      <c r="C65" s="18"/>
      <c r="D65" s="18"/>
      <c r="E65" s="18"/>
      <c r="F65" s="18"/>
      <c r="G65" s="18"/>
      <c r="H65" s="59"/>
      <c r="I65" s="101">
        <f t="shared" ref="I65:N65" si="0">SUM(I4:I64)</f>
        <v>0</v>
      </c>
      <c r="J65" s="101">
        <f t="shared" si="0"/>
        <v>0</v>
      </c>
      <c r="K65" s="101">
        <f t="shared" si="0"/>
        <v>0</v>
      </c>
      <c r="L65" s="101">
        <f t="shared" si="0"/>
        <v>0</v>
      </c>
      <c r="M65" s="101">
        <f t="shared" si="0"/>
        <v>0</v>
      </c>
      <c r="N65" s="101">
        <f t="shared" si="0"/>
        <v>0</v>
      </c>
      <c r="O65" s="101">
        <f>SUM(O4:O64)</f>
        <v>0</v>
      </c>
      <c r="P65" s="101"/>
      <c r="Q65" s="101"/>
      <c r="R65" s="101"/>
      <c r="S65" s="101"/>
      <c r="T65" s="10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</row>
  </sheetData>
  <mergeCells count="1">
    <mergeCell ref="I1:M1"/>
  </mergeCells>
  <phoneticPr fontId="2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</vt:lpstr>
      <vt:lpstr>Fish</vt:lpstr>
      <vt:lpstr>Water Quality</vt:lpstr>
      <vt:lpstr>Mammals</vt:lpstr>
      <vt:lpstr>Aquatic Inverts</vt:lpstr>
      <vt:lpstr>Fungi &amp; Lichen</vt:lpstr>
      <vt:lpstr>Plants</vt:lpstr>
      <vt:lpstr>Reptiles and Amphibians</vt:lpstr>
      <vt:lpstr>Birds</vt:lpstr>
      <vt:lpstr>Insects</vt:lpstr>
    </vt:vector>
  </TitlesOfParts>
  <Company>county of union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parkintern</dc:creator>
  <cp:lastModifiedBy>rcharkowsky</cp:lastModifiedBy>
  <cp:lastPrinted>2011-03-10T23:12:33Z</cp:lastPrinted>
  <dcterms:created xsi:type="dcterms:W3CDTF">2010-06-12T13:36:59Z</dcterms:created>
  <dcterms:modified xsi:type="dcterms:W3CDTF">2011-08-23T16:52:16Z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1Lt-Ef7bRo1Nal8mYeRIZ25AnotbdURMTFiQh4CNhTO8</vt:lpwstr>
  </property>
  <property fmtid="{D5CDD505-2E9C-101B-9397-08002B2CF9AE}" pid="4" name="Google.Documents.RevisionId">
    <vt:lpwstr>02856552310563789762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